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ptropea/cernbox/CMS_Cool/Phase II /CVforCMS/18Rev_LS2-LS3/"/>
    </mc:Choice>
  </mc:AlternateContent>
  <xr:revisionPtr revIDLastSave="0" documentId="8_{07416B47-4797-AE42-ABE8-321D004E1127}" xr6:coauthVersionLast="36" xr6:coauthVersionMax="36" xr10:uidLastSave="{00000000-0000-0000-0000-000000000000}"/>
  <bookViews>
    <workbookView xWindow="700" yWindow="460" windowWidth="24900" windowHeight="15540" tabRatio="762" activeTab="2" xr2:uid="{00000000-000D-0000-FFFF-FFFF00000000}"/>
  </bookViews>
  <sheets>
    <sheet name="Versioning" sheetId="11" r:id="rId1"/>
    <sheet name="Summary" sheetId="5" r:id="rId2"/>
    <sheet name="Present YE1 " sheetId="6" r:id="rId3"/>
    <sheet name="Upgr YE1 LS2" sheetId="12" r:id="rId4"/>
    <sheet name="Upgr YE1 LS3" sheetId="18" r:id="rId5"/>
    <sheet name="Present YE2 " sheetId="7" r:id="rId6"/>
    <sheet name="Upgr YE2  LS2 " sheetId="15" r:id="rId7"/>
    <sheet name="Upgr YE2  LS3" sheetId="21" r:id="rId8"/>
    <sheet name="Present YE3" sheetId="8" r:id="rId9"/>
    <sheet name="Upgrade YE3 LS2" sheetId="16" r:id="rId10"/>
    <sheet name="Upgrade YE3 LS3" sheetId="20" r:id="rId11"/>
    <sheet name="Sheet1" sheetId="17" r:id="rId12"/>
  </sheets>
  <calcPr calcId="162913"/>
</workbook>
</file>

<file path=xl/calcChain.xml><?xml version="1.0" encoding="utf-8"?>
<calcChain xmlns="http://schemas.openxmlformats.org/spreadsheetml/2006/main">
  <c r="C26" i="6" l="1"/>
  <c r="C18" i="6"/>
  <c r="C18" i="12"/>
  <c r="C17" i="5"/>
  <c r="H17" i="5" s="1"/>
  <c r="D17" i="5"/>
  <c r="C13" i="16"/>
  <c r="H18" i="16"/>
  <c r="C18" i="16"/>
  <c r="G18" i="16"/>
  <c r="F13" i="16"/>
  <c r="F18" i="16"/>
  <c r="E18" i="16"/>
  <c r="D18" i="16"/>
  <c r="H11" i="5"/>
  <c r="H3" i="5"/>
  <c r="C18" i="18" l="1"/>
  <c r="I22" i="5"/>
  <c r="H23" i="5"/>
  <c r="G23" i="5"/>
  <c r="H22" i="5"/>
  <c r="G22" i="5"/>
  <c r="C22" i="5"/>
  <c r="C8" i="16"/>
  <c r="C24" i="16" s="1"/>
  <c r="C17" i="16"/>
  <c r="H17" i="8" l="1"/>
  <c r="F18" i="21"/>
  <c r="F18" i="15"/>
  <c r="C8" i="12" l="1"/>
  <c r="P13" i="12" l="1"/>
  <c r="C13" i="12"/>
  <c r="C13" i="6"/>
  <c r="G9" i="5" l="1"/>
  <c r="G10" i="5" s="1"/>
  <c r="E17" i="16"/>
  <c r="E14" i="16"/>
  <c r="E6" i="16"/>
  <c r="E7" i="16" s="1"/>
  <c r="E9" i="16" s="1"/>
  <c r="E10" i="16" s="1"/>
  <c r="E18" i="8"/>
  <c r="E17" i="8"/>
  <c r="E14" i="8"/>
  <c r="E6" i="8"/>
  <c r="E7" i="8" s="1"/>
  <c r="E9" i="8" s="1"/>
  <c r="E10" i="8" s="1"/>
  <c r="D6" i="8"/>
  <c r="D7" i="8"/>
  <c r="D9" i="8"/>
  <c r="D10" i="8"/>
  <c r="D14" i="8"/>
  <c r="D17" i="8"/>
  <c r="D18" i="8"/>
  <c r="D9" i="5"/>
  <c r="C26" i="15"/>
  <c r="D11" i="5" s="1"/>
  <c r="F19" i="21"/>
  <c r="I18" i="21"/>
  <c r="H18" i="21"/>
  <c r="G18" i="21"/>
  <c r="D18" i="21"/>
  <c r="C18" i="21" s="1"/>
  <c r="C26" i="21" s="1"/>
  <c r="I17" i="21"/>
  <c r="G17" i="21"/>
  <c r="E17" i="21"/>
  <c r="E14" i="21"/>
  <c r="D14" i="21"/>
  <c r="C13" i="21"/>
  <c r="I12" i="21"/>
  <c r="H12" i="21"/>
  <c r="G12" i="21"/>
  <c r="F12" i="21"/>
  <c r="D12" i="21"/>
  <c r="I11" i="21"/>
  <c r="H11" i="21"/>
  <c r="G11" i="21"/>
  <c r="F11" i="21"/>
  <c r="D11" i="21"/>
  <c r="I8" i="21"/>
  <c r="I14" i="21" s="1"/>
  <c r="H8" i="21"/>
  <c r="H14" i="21" s="1"/>
  <c r="G8" i="21"/>
  <c r="G14" i="21" s="1"/>
  <c r="F8" i="21"/>
  <c r="D8" i="21"/>
  <c r="D17" i="21" s="1"/>
  <c r="H7" i="21"/>
  <c r="F7" i="21"/>
  <c r="D7" i="21"/>
  <c r="D9" i="21" s="1"/>
  <c r="D10" i="21" s="1"/>
  <c r="I6" i="21"/>
  <c r="I7" i="21" s="1"/>
  <c r="I9" i="21" s="1"/>
  <c r="I10" i="21" s="1"/>
  <c r="H6" i="21"/>
  <c r="G6" i="21"/>
  <c r="G7" i="21" s="1"/>
  <c r="G9" i="21" s="1"/>
  <c r="G10" i="21" s="1"/>
  <c r="F6" i="21"/>
  <c r="E6" i="21"/>
  <c r="E7" i="21" s="1"/>
  <c r="E9" i="21" s="1"/>
  <c r="E10" i="21" s="1"/>
  <c r="D6" i="21"/>
  <c r="C6" i="21"/>
  <c r="C7" i="21" s="1"/>
  <c r="C13" i="15"/>
  <c r="C18" i="15"/>
  <c r="E17" i="15"/>
  <c r="E14" i="15"/>
  <c r="E6" i="15"/>
  <c r="E7" i="15" s="1"/>
  <c r="E9" i="15" s="1"/>
  <c r="E10" i="15" s="1"/>
  <c r="C11" i="5"/>
  <c r="J18" i="18"/>
  <c r="P17" i="18"/>
  <c r="P18" i="18"/>
  <c r="P13" i="18"/>
  <c r="J6" i="18"/>
  <c r="P6" i="18"/>
  <c r="R6" i="18"/>
  <c r="Q6" i="18"/>
  <c r="Q7" i="18" s="1"/>
  <c r="Q9" i="18" s="1"/>
  <c r="C8" i="18"/>
  <c r="C24" i="18" s="1"/>
  <c r="C24" i="12"/>
  <c r="C8" i="6"/>
  <c r="C25" i="6"/>
  <c r="C5" i="5" s="1"/>
  <c r="E5" i="5" s="1"/>
  <c r="C17" i="6"/>
  <c r="C24" i="6"/>
  <c r="C3" i="5" s="1"/>
  <c r="C4" i="5" s="1"/>
  <c r="C25" i="12"/>
  <c r="D5" i="5" s="1"/>
  <c r="H5" i="5" s="1"/>
  <c r="C29" i="12"/>
  <c r="R6" i="12"/>
  <c r="R7" i="12" s="1"/>
  <c r="R9" i="12" s="1"/>
  <c r="R10" i="12" s="1"/>
  <c r="Q7" i="12"/>
  <c r="Q9" i="12"/>
  <c r="Q10" i="12" s="1"/>
  <c r="Q13" i="12"/>
  <c r="Q14" i="12" s="1"/>
  <c r="R13" i="12"/>
  <c r="R14" i="12" s="1"/>
  <c r="Q17" i="12"/>
  <c r="R17" i="12"/>
  <c r="E18" i="20"/>
  <c r="E17" i="20"/>
  <c r="L16" i="20"/>
  <c r="L18" i="20" s="1"/>
  <c r="K16" i="20"/>
  <c r="K18" i="20" s="1"/>
  <c r="J16" i="20"/>
  <c r="J18" i="20" s="1"/>
  <c r="I16" i="20"/>
  <c r="I19" i="20" s="1"/>
  <c r="G16" i="20"/>
  <c r="F16" i="20"/>
  <c r="D16" i="20"/>
  <c r="E14" i="20"/>
  <c r="L12" i="20"/>
  <c r="K12" i="20"/>
  <c r="J12" i="20"/>
  <c r="I12" i="20"/>
  <c r="G12" i="20"/>
  <c r="D12" i="20"/>
  <c r="L11" i="20"/>
  <c r="K11" i="20"/>
  <c r="J11" i="20"/>
  <c r="I11" i="20"/>
  <c r="G11" i="20"/>
  <c r="F11" i="20"/>
  <c r="F13" i="20" s="1"/>
  <c r="D11" i="20"/>
  <c r="L8" i="20"/>
  <c r="L14" i="20" s="1"/>
  <c r="K8" i="20"/>
  <c r="J8" i="20"/>
  <c r="I8" i="20"/>
  <c r="I14" i="20" s="1"/>
  <c r="G8" i="20"/>
  <c r="F8" i="20"/>
  <c r="D8" i="20"/>
  <c r="C8" i="20" s="1"/>
  <c r="C24" i="20" s="1"/>
  <c r="L6" i="20"/>
  <c r="L7" i="20" s="1"/>
  <c r="K6" i="20"/>
  <c r="K7" i="20" s="1"/>
  <c r="J6" i="20"/>
  <c r="J7" i="20" s="1"/>
  <c r="I6" i="20"/>
  <c r="I7" i="20" s="1"/>
  <c r="G6" i="20"/>
  <c r="G7" i="20" s="1"/>
  <c r="F6" i="20"/>
  <c r="F7" i="20" s="1"/>
  <c r="E6" i="20"/>
  <c r="E7" i="20" s="1"/>
  <c r="E9" i="20" s="1"/>
  <c r="E10" i="20" s="1"/>
  <c r="D6" i="20"/>
  <c r="D7" i="20" s="1"/>
  <c r="C6" i="20"/>
  <c r="C7" i="20" s="1"/>
  <c r="X18" i="18"/>
  <c r="W18" i="18"/>
  <c r="W13" i="18" s="1"/>
  <c r="W14" i="18" s="1"/>
  <c r="U18" i="18"/>
  <c r="T18" i="18" s="1"/>
  <c r="C30" i="18" s="1"/>
  <c r="H18" i="18"/>
  <c r="D18" i="18"/>
  <c r="X17" i="18"/>
  <c r="U17" i="18"/>
  <c r="R17" i="18"/>
  <c r="Q17" i="18"/>
  <c r="L17" i="18"/>
  <c r="H17" i="18"/>
  <c r="D17" i="18"/>
  <c r="O16" i="18"/>
  <c r="O17" i="18" s="1"/>
  <c r="N16" i="18"/>
  <c r="N17" i="18" s="1"/>
  <c r="M16" i="18"/>
  <c r="M18" i="18" s="1"/>
  <c r="L16" i="18"/>
  <c r="L19" i="18" s="1"/>
  <c r="K16" i="18"/>
  <c r="K18" i="18" s="1"/>
  <c r="J16" i="18"/>
  <c r="I16" i="18"/>
  <c r="H16" i="18"/>
  <c r="G16" i="18"/>
  <c r="G18" i="18" s="1"/>
  <c r="F16" i="18"/>
  <c r="F18" i="18" s="1"/>
  <c r="E16" i="18"/>
  <c r="E18" i="18" s="1"/>
  <c r="D16" i="18"/>
  <c r="X14" i="18"/>
  <c r="U14" i="18"/>
  <c r="P14" i="18"/>
  <c r="L14" i="18"/>
  <c r="H14" i="18"/>
  <c r="D14" i="18"/>
  <c r="R13" i="18"/>
  <c r="R14" i="18" s="1"/>
  <c r="Q13" i="18"/>
  <c r="Q18" i="18" s="1"/>
  <c r="H13" i="18"/>
  <c r="G13" i="18"/>
  <c r="G14" i="18" s="1"/>
  <c r="O12" i="18"/>
  <c r="N12" i="18"/>
  <c r="M12" i="18"/>
  <c r="L12" i="18"/>
  <c r="K12" i="18"/>
  <c r="J12" i="18"/>
  <c r="I12" i="18"/>
  <c r="I13" i="18" s="1"/>
  <c r="I14" i="18" s="1"/>
  <c r="H12" i="18"/>
  <c r="G12" i="18"/>
  <c r="F12" i="18"/>
  <c r="E12" i="18"/>
  <c r="D12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L9" i="18"/>
  <c r="L10" i="18" s="1"/>
  <c r="H9" i="18"/>
  <c r="H10" i="18" s="1"/>
  <c r="D9" i="18"/>
  <c r="D10" i="18" s="1"/>
  <c r="W8" i="18"/>
  <c r="W17" i="18" s="1"/>
  <c r="T8" i="18"/>
  <c r="T17" i="18" s="1"/>
  <c r="O8" i="18"/>
  <c r="O14" i="18" s="1"/>
  <c r="N8" i="18"/>
  <c r="N14" i="18" s="1"/>
  <c r="M8" i="18"/>
  <c r="M14" i="18" s="1"/>
  <c r="L8" i="18"/>
  <c r="K8" i="18"/>
  <c r="K14" i="18" s="1"/>
  <c r="J8" i="18"/>
  <c r="J14" i="18" s="1"/>
  <c r="I8" i="18"/>
  <c r="H8" i="18"/>
  <c r="G8" i="18"/>
  <c r="G9" i="18" s="1"/>
  <c r="G10" i="18" s="1"/>
  <c r="F8" i="18"/>
  <c r="F14" i="18" s="1"/>
  <c r="E8" i="18"/>
  <c r="E14" i="18" s="1"/>
  <c r="D8" i="18"/>
  <c r="P7" i="18"/>
  <c r="P9" i="18" s="1"/>
  <c r="P10" i="18" s="1"/>
  <c r="O7" i="18"/>
  <c r="L7" i="18"/>
  <c r="K7" i="18"/>
  <c r="H7" i="18"/>
  <c r="G7" i="18"/>
  <c r="D7" i="18"/>
  <c r="C7" i="18"/>
  <c r="X6" i="18"/>
  <c r="X7" i="18" s="1"/>
  <c r="X9" i="18" s="1"/>
  <c r="X10" i="18" s="1"/>
  <c r="W6" i="18"/>
  <c r="W7" i="18" s="1"/>
  <c r="U6" i="18"/>
  <c r="U7" i="18" s="1"/>
  <c r="U9" i="18" s="1"/>
  <c r="U10" i="18" s="1"/>
  <c r="T6" i="18"/>
  <c r="T7" i="18" s="1"/>
  <c r="R7" i="18"/>
  <c r="R9" i="18" s="1"/>
  <c r="R10" i="18" s="1"/>
  <c r="O6" i="18"/>
  <c r="N6" i="18"/>
  <c r="N7" i="18" s="1"/>
  <c r="N9" i="18" s="1"/>
  <c r="N10" i="18" s="1"/>
  <c r="M6" i="18"/>
  <c r="M7" i="18" s="1"/>
  <c r="L6" i="18"/>
  <c r="K6" i="18"/>
  <c r="J7" i="18"/>
  <c r="J9" i="18" s="1"/>
  <c r="J10" i="18" s="1"/>
  <c r="I6" i="18"/>
  <c r="I7" i="18" s="1"/>
  <c r="H6" i="18"/>
  <c r="G6" i="18"/>
  <c r="F6" i="18"/>
  <c r="F7" i="18" s="1"/>
  <c r="F9" i="18" s="1"/>
  <c r="F10" i="18" s="1"/>
  <c r="E6" i="18"/>
  <c r="E7" i="18" s="1"/>
  <c r="D6" i="18"/>
  <c r="C6" i="18"/>
  <c r="C29" i="5"/>
  <c r="J22" i="5"/>
  <c r="J25" i="5" s="1"/>
  <c r="P14" i="12"/>
  <c r="P17" i="12"/>
  <c r="P7" i="12"/>
  <c r="P9" i="12" s="1"/>
  <c r="P10" i="12" s="1"/>
  <c r="G9" i="20" l="1"/>
  <c r="G10" i="20" s="1"/>
  <c r="L9" i="20"/>
  <c r="L10" i="20" s="1"/>
  <c r="G13" i="20"/>
  <c r="F9" i="20"/>
  <c r="F10" i="20" s="1"/>
  <c r="K9" i="20"/>
  <c r="K10" i="20" s="1"/>
  <c r="F14" i="20"/>
  <c r="G14" i="20"/>
  <c r="D9" i="20"/>
  <c r="D10" i="20" s="1"/>
  <c r="J9" i="20"/>
  <c r="J10" i="20" s="1"/>
  <c r="G17" i="20"/>
  <c r="F18" i="20"/>
  <c r="G11" i="5"/>
  <c r="C27" i="21"/>
  <c r="F11" i="5"/>
  <c r="E11" i="5"/>
  <c r="C27" i="15"/>
  <c r="C17" i="12"/>
  <c r="F5" i="5"/>
  <c r="D14" i="20"/>
  <c r="D17" i="20"/>
  <c r="F14" i="21"/>
  <c r="H9" i="21"/>
  <c r="H10" i="21" s="1"/>
  <c r="H17" i="21"/>
  <c r="C17" i="21" s="1"/>
  <c r="C8" i="21"/>
  <c r="F9" i="21"/>
  <c r="F10" i="21" s="1"/>
  <c r="F3" i="5"/>
  <c r="C25" i="18"/>
  <c r="G5" i="5" s="1"/>
  <c r="G24" i="5" s="1"/>
  <c r="C13" i="18"/>
  <c r="Q10" i="18"/>
  <c r="G3" i="5"/>
  <c r="C26" i="12"/>
  <c r="D3" i="5"/>
  <c r="R18" i="12"/>
  <c r="Q18" i="12"/>
  <c r="I9" i="18"/>
  <c r="I10" i="18" s="1"/>
  <c r="I18" i="18"/>
  <c r="E9" i="18"/>
  <c r="E10" i="18" s="1"/>
  <c r="M9" i="18"/>
  <c r="M10" i="18" s="1"/>
  <c r="W9" i="18"/>
  <c r="W10" i="18" s="1"/>
  <c r="Q14" i="18"/>
  <c r="E17" i="18"/>
  <c r="C17" i="18" s="1"/>
  <c r="I17" i="18"/>
  <c r="M17" i="18"/>
  <c r="N18" i="18"/>
  <c r="R18" i="18"/>
  <c r="I9" i="20"/>
  <c r="I10" i="20" s="1"/>
  <c r="J14" i="20"/>
  <c r="J17" i="20"/>
  <c r="D18" i="20"/>
  <c r="I17" i="20"/>
  <c r="F17" i="18"/>
  <c r="J17" i="18"/>
  <c r="O18" i="18"/>
  <c r="C29" i="18"/>
  <c r="C31" i="18" s="1"/>
  <c r="K14" i="20"/>
  <c r="F17" i="20"/>
  <c r="K17" i="20"/>
  <c r="C9" i="18"/>
  <c r="C10" i="18" s="1"/>
  <c r="K9" i="18"/>
  <c r="K10" i="18" s="1"/>
  <c r="O9" i="18"/>
  <c r="O10" i="18" s="1"/>
  <c r="T9" i="18"/>
  <c r="T10" i="18" s="1"/>
  <c r="T14" i="18"/>
  <c r="G17" i="18"/>
  <c r="K17" i="18"/>
  <c r="L17" i="20"/>
  <c r="P18" i="12"/>
  <c r="E3" i="5" l="1"/>
  <c r="D22" i="5"/>
  <c r="C26" i="18"/>
  <c r="I11" i="5"/>
  <c r="C17" i="20"/>
  <c r="G18" i="20"/>
  <c r="C18" i="20" s="1"/>
  <c r="C13" i="20" s="1"/>
  <c r="C14" i="20" s="1"/>
  <c r="G15" i="5"/>
  <c r="G12" i="5"/>
  <c r="I5" i="5"/>
  <c r="I24" i="5" s="1"/>
  <c r="G4" i="5"/>
  <c r="F6" i="5"/>
  <c r="I3" i="5"/>
  <c r="F4" i="5"/>
  <c r="D4" i="5"/>
  <c r="E4" i="5" s="1"/>
  <c r="C9" i="20"/>
  <c r="C10" i="20" s="1"/>
  <c r="C25" i="21"/>
  <c r="C9" i="21"/>
  <c r="C10" i="21" s="1"/>
  <c r="C14" i="21"/>
  <c r="C14" i="18"/>
  <c r="G13" i="6"/>
  <c r="G14" i="6"/>
  <c r="G7" i="6"/>
  <c r="G9" i="6"/>
  <c r="G10" i="6"/>
  <c r="J6" i="6"/>
  <c r="J7" i="6"/>
  <c r="J9" i="6"/>
  <c r="J10" i="6"/>
  <c r="G18" i="6"/>
  <c r="C8" i="8"/>
  <c r="C24" i="8" s="1"/>
  <c r="C15" i="5" s="1"/>
  <c r="C8" i="7"/>
  <c r="C25" i="7" s="1"/>
  <c r="D16" i="16"/>
  <c r="F16" i="16"/>
  <c r="F17" i="16" s="1"/>
  <c r="F11" i="16"/>
  <c r="G16" i="16"/>
  <c r="G12" i="16"/>
  <c r="G11" i="16"/>
  <c r="G13" i="16" s="1"/>
  <c r="J16" i="16"/>
  <c r="J18" i="16" s="1"/>
  <c r="K16" i="16"/>
  <c r="L16" i="16"/>
  <c r="L18" i="16" s="1"/>
  <c r="D18" i="15"/>
  <c r="G18" i="15"/>
  <c r="H18" i="15"/>
  <c r="I18" i="15"/>
  <c r="D16" i="12"/>
  <c r="D18" i="12"/>
  <c r="E16" i="12"/>
  <c r="E18" i="12" s="1"/>
  <c r="F16" i="12"/>
  <c r="F18" i="12" s="1"/>
  <c r="G16" i="12"/>
  <c r="G12" i="12"/>
  <c r="G11" i="12"/>
  <c r="G13" i="12" s="1"/>
  <c r="H16" i="12"/>
  <c r="H12" i="12"/>
  <c r="H11" i="12"/>
  <c r="I16" i="12"/>
  <c r="I12" i="12"/>
  <c r="I13" i="12" s="1"/>
  <c r="I11" i="12"/>
  <c r="J16" i="12"/>
  <c r="J18" i="12" s="1"/>
  <c r="K16" i="12"/>
  <c r="K18" i="12"/>
  <c r="M16" i="12"/>
  <c r="M18" i="12" s="1"/>
  <c r="N16" i="12"/>
  <c r="N18" i="12" s="1"/>
  <c r="O16" i="12"/>
  <c r="O18" i="12" s="1"/>
  <c r="I19" i="16"/>
  <c r="L8" i="16"/>
  <c r="D12" i="16"/>
  <c r="I12" i="16"/>
  <c r="J12" i="16"/>
  <c r="K12" i="16"/>
  <c r="L12" i="16"/>
  <c r="I11" i="16"/>
  <c r="J11" i="16"/>
  <c r="K11" i="16"/>
  <c r="L11" i="16"/>
  <c r="D11" i="16"/>
  <c r="F8" i="16"/>
  <c r="D8" i="16"/>
  <c r="G8" i="16"/>
  <c r="G17" i="16" s="1"/>
  <c r="I8" i="16"/>
  <c r="I17" i="16" s="1"/>
  <c r="J8" i="16"/>
  <c r="K8" i="16"/>
  <c r="K14" i="16" s="1"/>
  <c r="L14" i="16"/>
  <c r="D12" i="15"/>
  <c r="F12" i="15"/>
  <c r="G12" i="15"/>
  <c r="H12" i="15"/>
  <c r="I12" i="15"/>
  <c r="F11" i="15"/>
  <c r="G11" i="15"/>
  <c r="H11" i="15"/>
  <c r="I11" i="15"/>
  <c r="D11" i="15"/>
  <c r="F8" i="15"/>
  <c r="G8" i="15"/>
  <c r="H8" i="15"/>
  <c r="H17" i="15" s="1"/>
  <c r="I8" i="15"/>
  <c r="D8" i="15"/>
  <c r="H8" i="12"/>
  <c r="H17" i="12" s="1"/>
  <c r="L16" i="12"/>
  <c r="L17" i="12" s="1"/>
  <c r="D8" i="12"/>
  <c r="D12" i="12"/>
  <c r="E12" i="12"/>
  <c r="F12" i="12"/>
  <c r="G8" i="12"/>
  <c r="J12" i="12"/>
  <c r="K12" i="12"/>
  <c r="L12" i="12"/>
  <c r="M12" i="12"/>
  <c r="N12" i="12"/>
  <c r="O12" i="12"/>
  <c r="E11" i="12"/>
  <c r="F11" i="12"/>
  <c r="J11" i="12"/>
  <c r="K11" i="12"/>
  <c r="L11" i="12"/>
  <c r="M11" i="12"/>
  <c r="N11" i="12"/>
  <c r="O11" i="12"/>
  <c r="D11" i="12"/>
  <c r="E8" i="12"/>
  <c r="E17" i="12" s="1"/>
  <c r="F8" i="12"/>
  <c r="F14" i="12" s="1"/>
  <c r="G17" i="12"/>
  <c r="I8" i="12"/>
  <c r="J8" i="12"/>
  <c r="K8" i="12"/>
  <c r="L8" i="12"/>
  <c r="M8" i="12"/>
  <c r="M14" i="12" s="1"/>
  <c r="N8" i="12"/>
  <c r="O8" i="12"/>
  <c r="J17" i="16"/>
  <c r="J14" i="16"/>
  <c r="L6" i="16"/>
  <c r="L7" i="16" s="1"/>
  <c r="L9" i="16" s="1"/>
  <c r="L10" i="16" s="1"/>
  <c r="K6" i="16"/>
  <c r="K7" i="16" s="1"/>
  <c r="K9" i="16" s="1"/>
  <c r="K10" i="16" s="1"/>
  <c r="J6" i="16"/>
  <c r="J7" i="16" s="1"/>
  <c r="I6" i="16"/>
  <c r="I7" i="16" s="1"/>
  <c r="G6" i="16"/>
  <c r="G7" i="16" s="1"/>
  <c r="F6" i="16"/>
  <c r="F7" i="16" s="1"/>
  <c r="F9" i="16" s="1"/>
  <c r="F10" i="16" s="1"/>
  <c r="D6" i="16"/>
  <c r="D7" i="16" s="1"/>
  <c r="C6" i="16"/>
  <c r="C7" i="16"/>
  <c r="F19" i="15"/>
  <c r="I17" i="15"/>
  <c r="D17" i="15"/>
  <c r="G17" i="15"/>
  <c r="H14" i="15"/>
  <c r="G14" i="15"/>
  <c r="F14" i="15"/>
  <c r="D14" i="15"/>
  <c r="I6" i="15"/>
  <c r="I7" i="15"/>
  <c r="I9" i="15"/>
  <c r="I10" i="15" s="1"/>
  <c r="H6" i="15"/>
  <c r="H7" i="15"/>
  <c r="H9" i="15"/>
  <c r="H10" i="15" s="1"/>
  <c r="G6" i="15"/>
  <c r="G7" i="15"/>
  <c r="G9" i="15"/>
  <c r="G10" i="15" s="1"/>
  <c r="F6" i="15"/>
  <c r="F7" i="15"/>
  <c r="F9" i="15"/>
  <c r="F10" i="15" s="1"/>
  <c r="D6" i="15"/>
  <c r="D7" i="15"/>
  <c r="D9" i="15"/>
  <c r="D10" i="15" s="1"/>
  <c r="C6" i="15"/>
  <c r="C7" i="15"/>
  <c r="U18" i="12"/>
  <c r="T18" i="12" s="1"/>
  <c r="X18" i="12"/>
  <c r="W18" i="12" s="1"/>
  <c r="W13" i="12" s="1"/>
  <c r="W14" i="12" s="1"/>
  <c r="W8" i="12"/>
  <c r="T8" i="12"/>
  <c r="T14" i="12" s="1"/>
  <c r="T6" i="12"/>
  <c r="T7" i="12" s="1"/>
  <c r="W6" i="12"/>
  <c r="W7" i="12" s="1"/>
  <c r="W9" i="12" s="1"/>
  <c r="W10" i="12" s="1"/>
  <c r="L19" i="12"/>
  <c r="X17" i="12"/>
  <c r="U17" i="12"/>
  <c r="K17" i="12"/>
  <c r="X14" i="12"/>
  <c r="U14" i="12"/>
  <c r="N14" i="12"/>
  <c r="K14" i="12"/>
  <c r="D14" i="12"/>
  <c r="X6" i="12"/>
  <c r="X7" i="12" s="1"/>
  <c r="X9" i="12" s="1"/>
  <c r="X10" i="12" s="1"/>
  <c r="U6" i="12"/>
  <c r="U7" i="12" s="1"/>
  <c r="U9" i="12" s="1"/>
  <c r="U10" i="12" s="1"/>
  <c r="O6" i="12"/>
  <c r="O7" i="12" s="1"/>
  <c r="N6" i="12"/>
  <c r="N7" i="12"/>
  <c r="N9" i="12" s="1"/>
  <c r="N10" i="12" s="1"/>
  <c r="M6" i="12"/>
  <c r="M7" i="12" s="1"/>
  <c r="L6" i="12"/>
  <c r="L7" i="12" s="1"/>
  <c r="K6" i="12"/>
  <c r="K7" i="12"/>
  <c r="K9" i="12" s="1"/>
  <c r="K10" i="12" s="1"/>
  <c r="J6" i="12"/>
  <c r="J7" i="12" s="1"/>
  <c r="I6" i="12"/>
  <c r="I7" i="12" s="1"/>
  <c r="I9" i="12" s="1"/>
  <c r="I10" i="12" s="1"/>
  <c r="H6" i="12"/>
  <c r="H7" i="12" s="1"/>
  <c r="G6" i="12"/>
  <c r="G7" i="12" s="1"/>
  <c r="F6" i="12"/>
  <c r="F7" i="12" s="1"/>
  <c r="F9" i="12" s="1"/>
  <c r="F10" i="12" s="1"/>
  <c r="E6" i="12"/>
  <c r="E7" i="12" s="1"/>
  <c r="D6" i="12"/>
  <c r="D7" i="12" s="1"/>
  <c r="D9" i="12" s="1"/>
  <c r="D10" i="12" s="1"/>
  <c r="C6" i="12"/>
  <c r="C7" i="12"/>
  <c r="G13" i="8"/>
  <c r="F13" i="8"/>
  <c r="F14" i="8"/>
  <c r="J13" i="6"/>
  <c r="J18" i="6"/>
  <c r="I13" i="6"/>
  <c r="H13" i="6"/>
  <c r="H18" i="6"/>
  <c r="I18" i="6"/>
  <c r="D18" i="6"/>
  <c r="E18" i="6"/>
  <c r="F18" i="6"/>
  <c r="K18" i="6"/>
  <c r="L18" i="6"/>
  <c r="N18" i="6"/>
  <c r="O18" i="6"/>
  <c r="P18" i="6"/>
  <c r="G18" i="8"/>
  <c r="F18" i="8"/>
  <c r="I18" i="8"/>
  <c r="J18" i="8"/>
  <c r="K18" i="8"/>
  <c r="C18" i="8"/>
  <c r="C25" i="8" s="1"/>
  <c r="D18" i="7"/>
  <c r="E18" i="7"/>
  <c r="G18" i="7"/>
  <c r="C18" i="7" s="1"/>
  <c r="H18" i="7"/>
  <c r="I18" i="7"/>
  <c r="R8" i="6"/>
  <c r="U8" i="6"/>
  <c r="C29" i="6"/>
  <c r="C28" i="5"/>
  <c r="C30" i="5" s="1"/>
  <c r="S18" i="6"/>
  <c r="R18" i="6"/>
  <c r="V18" i="6"/>
  <c r="U18" i="6"/>
  <c r="C30" i="6"/>
  <c r="V6" i="6"/>
  <c r="V7" i="6"/>
  <c r="V9" i="6"/>
  <c r="V10" i="6"/>
  <c r="U13" i="6"/>
  <c r="U14" i="6"/>
  <c r="G17" i="8"/>
  <c r="G14" i="8"/>
  <c r="G6" i="8"/>
  <c r="G7" i="8"/>
  <c r="G9" i="8"/>
  <c r="G10" i="8"/>
  <c r="H6" i="7"/>
  <c r="H7" i="7" s="1"/>
  <c r="H9" i="7" s="1"/>
  <c r="H10" i="7" s="1"/>
  <c r="C6" i="8"/>
  <c r="F6" i="8"/>
  <c r="H6" i="8"/>
  <c r="I6" i="8"/>
  <c r="J6" i="8"/>
  <c r="J7" i="8"/>
  <c r="J9" i="8"/>
  <c r="J10" i="8"/>
  <c r="K6" i="8"/>
  <c r="C7" i="8"/>
  <c r="F7" i="8"/>
  <c r="F9" i="8"/>
  <c r="F10" i="8"/>
  <c r="H7" i="8"/>
  <c r="I7" i="8"/>
  <c r="I9" i="8"/>
  <c r="I10" i="8"/>
  <c r="K7" i="8"/>
  <c r="H9" i="8"/>
  <c r="H10" i="8"/>
  <c r="K9" i="8"/>
  <c r="K10" i="8"/>
  <c r="H14" i="8"/>
  <c r="I14" i="8"/>
  <c r="J14" i="8"/>
  <c r="K14" i="8"/>
  <c r="F17" i="8"/>
  <c r="I17" i="8"/>
  <c r="J17" i="8"/>
  <c r="K17" i="8"/>
  <c r="C17" i="8"/>
  <c r="H19" i="8"/>
  <c r="C6" i="7"/>
  <c r="C7" i="7" s="1"/>
  <c r="D6" i="7"/>
  <c r="D7" i="7" s="1"/>
  <c r="D9" i="7" s="1"/>
  <c r="D10" i="7" s="1"/>
  <c r="E6" i="7"/>
  <c r="E7" i="7" s="1"/>
  <c r="E9" i="7" s="1"/>
  <c r="E10" i="7" s="1"/>
  <c r="F6" i="7"/>
  <c r="F7" i="7" s="1"/>
  <c r="F9" i="7" s="1"/>
  <c r="F10" i="7" s="1"/>
  <c r="G6" i="7"/>
  <c r="I6" i="7"/>
  <c r="I7" i="7"/>
  <c r="I9" i="7" s="1"/>
  <c r="I10" i="7" s="1"/>
  <c r="G7" i="7"/>
  <c r="G9" i="7" s="1"/>
  <c r="G10" i="7" s="1"/>
  <c r="D14" i="7"/>
  <c r="E14" i="7"/>
  <c r="F14" i="7"/>
  <c r="G14" i="7"/>
  <c r="H14" i="7"/>
  <c r="I14" i="7"/>
  <c r="D17" i="7"/>
  <c r="E17" i="7"/>
  <c r="F17" i="7"/>
  <c r="C17" i="7" s="1"/>
  <c r="G17" i="7"/>
  <c r="H17" i="7"/>
  <c r="I17" i="7"/>
  <c r="F19" i="7"/>
  <c r="C6" i="6"/>
  <c r="D6" i="6"/>
  <c r="E6" i="6"/>
  <c r="F6" i="6"/>
  <c r="H6" i="6"/>
  <c r="I6" i="6"/>
  <c r="K6" i="6"/>
  <c r="L6" i="6"/>
  <c r="M6" i="6"/>
  <c r="N6" i="6"/>
  <c r="O6" i="6"/>
  <c r="P6" i="6"/>
  <c r="R6" i="6"/>
  <c r="R7" i="6"/>
  <c r="R9" i="6"/>
  <c r="R10" i="6"/>
  <c r="S6" i="6"/>
  <c r="U6" i="6"/>
  <c r="U7" i="6"/>
  <c r="U9" i="6"/>
  <c r="U10" i="6"/>
  <c r="C7" i="6"/>
  <c r="C9" i="6"/>
  <c r="C10" i="6" s="1"/>
  <c r="D7" i="6"/>
  <c r="D9" i="6"/>
  <c r="D10" i="6"/>
  <c r="E7" i="6"/>
  <c r="F7" i="6"/>
  <c r="H7" i="6"/>
  <c r="I7" i="6"/>
  <c r="I9" i="6"/>
  <c r="I10" i="6"/>
  <c r="K7" i="6"/>
  <c r="L7" i="6"/>
  <c r="L9" i="6"/>
  <c r="L10" i="6"/>
  <c r="M7" i="6"/>
  <c r="M9" i="6"/>
  <c r="M10" i="6"/>
  <c r="N7" i="6"/>
  <c r="O7" i="6"/>
  <c r="P7" i="6"/>
  <c r="S7" i="6"/>
  <c r="E9" i="6"/>
  <c r="F9" i="6"/>
  <c r="F10" i="6"/>
  <c r="H9" i="6"/>
  <c r="H10" i="6"/>
  <c r="K9" i="6"/>
  <c r="K10" i="6"/>
  <c r="N9" i="6"/>
  <c r="O9" i="6"/>
  <c r="O10" i="6"/>
  <c r="P9" i="6"/>
  <c r="P10" i="6"/>
  <c r="S9" i="6"/>
  <c r="S10" i="6"/>
  <c r="E10" i="6"/>
  <c r="N10" i="6"/>
  <c r="D14" i="6"/>
  <c r="E14" i="6"/>
  <c r="F14" i="6"/>
  <c r="I14" i="6"/>
  <c r="K14" i="6"/>
  <c r="L14" i="6"/>
  <c r="M14" i="6"/>
  <c r="N14" i="6"/>
  <c r="O14" i="6"/>
  <c r="P14" i="6"/>
  <c r="R14" i="6"/>
  <c r="S14" i="6"/>
  <c r="V14" i="6"/>
  <c r="D17" i="6"/>
  <c r="E17" i="6"/>
  <c r="F17" i="6"/>
  <c r="H17" i="6"/>
  <c r="I17" i="6"/>
  <c r="J17" i="6"/>
  <c r="K17" i="6"/>
  <c r="L17" i="6"/>
  <c r="M17" i="6"/>
  <c r="N17" i="6"/>
  <c r="O17" i="6"/>
  <c r="P17" i="6"/>
  <c r="R17" i="6"/>
  <c r="S17" i="6"/>
  <c r="U17" i="6"/>
  <c r="V17" i="6"/>
  <c r="M19" i="6"/>
  <c r="C9" i="8"/>
  <c r="C10" i="8" s="1"/>
  <c r="F17" i="12"/>
  <c r="L14" i="12"/>
  <c r="C31" i="6"/>
  <c r="W17" i="12"/>
  <c r="J14" i="6"/>
  <c r="O14" i="12"/>
  <c r="I14" i="15"/>
  <c r="H14" i="6"/>
  <c r="J14" i="12"/>
  <c r="C14" i="6"/>
  <c r="G9" i="16" l="1"/>
  <c r="G10" i="16" s="1"/>
  <c r="D9" i="16"/>
  <c r="D10" i="16" s="1"/>
  <c r="J9" i="16"/>
  <c r="J10" i="16" s="1"/>
  <c r="K17" i="16"/>
  <c r="D15" i="5"/>
  <c r="L17" i="16"/>
  <c r="C25" i="20"/>
  <c r="G17" i="5" s="1"/>
  <c r="I17" i="5" s="1"/>
  <c r="F15" i="5"/>
  <c r="H15" i="5"/>
  <c r="G16" i="5"/>
  <c r="C13" i="8"/>
  <c r="C14" i="8" s="1"/>
  <c r="I4" i="5"/>
  <c r="I6" i="5"/>
  <c r="C16" i="5"/>
  <c r="F14" i="16"/>
  <c r="I14" i="16"/>
  <c r="D17" i="16"/>
  <c r="I9" i="16"/>
  <c r="I10" i="16" s="1"/>
  <c r="G14" i="16"/>
  <c r="K18" i="16"/>
  <c r="D14" i="16"/>
  <c r="C9" i="16"/>
  <c r="C10" i="16" s="1"/>
  <c r="C26" i="8"/>
  <c r="C9" i="5"/>
  <c r="E9" i="5" s="1"/>
  <c r="C9" i="7"/>
  <c r="C10" i="7" s="1"/>
  <c r="C17" i="15"/>
  <c r="C26" i="7"/>
  <c r="C13" i="7"/>
  <c r="C14" i="7" s="1"/>
  <c r="C8" i="15"/>
  <c r="G18" i="12"/>
  <c r="G14" i="12"/>
  <c r="N17" i="12"/>
  <c r="E9" i="12"/>
  <c r="E10" i="12" s="1"/>
  <c r="C30" i="12"/>
  <c r="C31" i="12" s="1"/>
  <c r="O17" i="12"/>
  <c r="G9" i="12"/>
  <c r="G10" i="12" s="1"/>
  <c r="H13" i="12"/>
  <c r="H18" i="12" s="1"/>
  <c r="O9" i="12"/>
  <c r="O10" i="12" s="1"/>
  <c r="J9" i="12"/>
  <c r="J10" i="12" s="1"/>
  <c r="M9" i="12"/>
  <c r="M10" i="12" s="1"/>
  <c r="I17" i="12"/>
  <c r="D17" i="12"/>
  <c r="I18" i="12"/>
  <c r="I14" i="12"/>
  <c r="H14" i="12"/>
  <c r="L9" i="12"/>
  <c r="L10" i="12" s="1"/>
  <c r="H9" i="12"/>
  <c r="H10" i="12" s="1"/>
  <c r="T9" i="12"/>
  <c r="T10" i="12" s="1"/>
  <c r="T17" i="12"/>
  <c r="M17" i="12"/>
  <c r="J17" i="12"/>
  <c r="E14" i="12"/>
  <c r="C6" i="5"/>
  <c r="C25" i="16" l="1"/>
  <c r="C26" i="16" s="1"/>
  <c r="E15" i="5"/>
  <c r="C26" i="20"/>
  <c r="G18" i="5"/>
  <c r="F16" i="5"/>
  <c r="I15" i="5"/>
  <c r="C24" i="5"/>
  <c r="H24" i="5" s="1"/>
  <c r="F9" i="5"/>
  <c r="H9" i="5"/>
  <c r="C10" i="5"/>
  <c r="C18" i="5"/>
  <c r="C14" i="16"/>
  <c r="D16" i="5"/>
  <c r="E16" i="5" s="1"/>
  <c r="D23" i="5"/>
  <c r="C23" i="5"/>
  <c r="D10" i="5"/>
  <c r="D12" i="5"/>
  <c r="C14" i="15"/>
  <c r="C25" i="15"/>
  <c r="C9" i="15"/>
  <c r="C10" i="15" s="1"/>
  <c r="C27" i="7"/>
  <c r="G6" i="5"/>
  <c r="C9" i="12"/>
  <c r="C10" i="12" s="1"/>
  <c r="C14" i="12"/>
  <c r="E10" i="5" l="1"/>
  <c r="E23" i="5"/>
  <c r="E22" i="5"/>
  <c r="I16" i="5"/>
  <c r="I18" i="5"/>
  <c r="I9" i="5"/>
  <c r="F10" i="5"/>
  <c r="F12" i="5"/>
  <c r="F22" i="5"/>
  <c r="F23" i="5" s="1"/>
  <c r="C25" i="5"/>
  <c r="C12" i="5"/>
  <c r="D6" i="5"/>
  <c r="D24" i="5" l="1"/>
  <c r="E24" i="5" s="1"/>
  <c r="E17" i="5"/>
  <c r="F17" i="5"/>
  <c r="F18" i="5" s="1"/>
  <c r="D18" i="5"/>
  <c r="I10" i="5"/>
  <c r="I12" i="5"/>
  <c r="F24" i="5"/>
  <c r="F25" i="5" s="1"/>
  <c r="D25" i="5" l="1"/>
  <c r="G25" i="5"/>
  <c r="I23" i="5"/>
  <c r="I2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tropea</author>
  </authors>
  <commentList>
    <comment ref="J23" authorId="0" shapeId="0" xr:uid="{00000000-0006-0000-0100-000001000000}">
      <text>
        <r>
          <rPr>
            <b/>
            <sz val="10"/>
            <color rgb="FF000000"/>
            <rFont val="Calibri"/>
            <family val="2"/>
          </rPr>
          <t>paola tropea: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From EN-CV flowmeter
</t>
        </r>
      </text>
    </comment>
    <comment ref="J24" authorId="0" shapeId="0" xr:uid="{00000000-0006-0000-0100-000002000000}">
      <text>
        <r>
          <rPr>
            <b/>
            <sz val="10"/>
            <color rgb="FF000000"/>
            <rFont val="Calibri"/>
            <family val="2"/>
          </rPr>
          <t>paola tropea: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Calculated from DT and Flow measurements
</t>
        </r>
      </text>
    </comment>
    <comment ref="J25" authorId="0" shapeId="0" xr:uid="{00000000-0006-0000-0100-000003000000}">
      <text>
        <r>
          <rPr>
            <b/>
            <sz val="10"/>
            <color rgb="FF000000"/>
            <rFont val="Calibri"/>
            <family val="2"/>
          </rPr>
          <t>paola tropea: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From main circuit T readings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tropea</author>
  </authors>
  <commentList>
    <comment ref="F13" authorId="0" shapeId="0" xr:uid="{00000000-0006-0000-0400-000001000000}">
      <text>
        <r>
          <rPr>
            <b/>
            <sz val="10"/>
            <color rgb="FF000000"/>
            <rFont val="Calibri"/>
            <family val="2"/>
          </rPr>
          <t>paola tropea: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From Salvatore's mail Feb 2016</t>
        </r>
      </text>
    </comment>
    <comment ref="G13" authorId="0" shapeId="0" xr:uid="{00000000-0006-0000-0400-000002000000}">
      <text>
        <r>
          <rPr>
            <b/>
            <sz val="10"/>
            <color rgb="FF000000"/>
            <rFont val="Calibri"/>
            <family val="2"/>
          </rPr>
          <t>paola tropea: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From Salvatore's mail Feb 2016</t>
        </r>
      </text>
    </comment>
  </commentList>
</comments>
</file>

<file path=xl/sharedStrings.xml><?xml version="1.0" encoding="utf-8"?>
<sst xmlns="http://schemas.openxmlformats.org/spreadsheetml/2006/main" count="626" uniqueCount="122">
  <si>
    <t>bar</t>
  </si>
  <si>
    <t>Tube/pipe OD</t>
  </si>
  <si>
    <t>Tube/pipe wall</t>
  </si>
  <si>
    <t>Units</t>
  </si>
  <si>
    <t>Flow rate</t>
  </si>
  <si>
    <t>C</t>
  </si>
  <si>
    <t>mm</t>
  </si>
  <si>
    <t>liter/min</t>
  </si>
  <si>
    <t>W</t>
  </si>
  <si>
    <t>Number of circuits</t>
  </si>
  <si>
    <t>ea</t>
  </si>
  <si>
    <r>
      <t>mm</t>
    </r>
    <r>
      <rPr>
        <vertAlign val="superscript"/>
        <sz val="10"/>
        <rFont val="Arial"/>
        <family val="2"/>
      </rPr>
      <t>2</t>
    </r>
  </si>
  <si>
    <t>YE2 periphery manifold</t>
  </si>
  <si>
    <t>Disk circuit</t>
  </si>
  <si>
    <t>m/sec</t>
  </si>
  <si>
    <t>Pressure drop (measured)</t>
  </si>
  <si>
    <t>YE2 cooling parameters</t>
  </si>
  <si>
    <t>Heat removal/circuit</t>
  </si>
  <si>
    <t>Rack cooling circuit</t>
  </si>
  <si>
    <t>Total flow</t>
  </si>
  <si>
    <t>Temperature rise</t>
  </si>
  <si>
    <t>Total temperature rise</t>
  </si>
  <si>
    <t>Heat removed</t>
  </si>
  <si>
    <t>Total Heat removed</t>
  </si>
  <si>
    <t>Heat removal capacity</t>
  </si>
  <si>
    <t>Tube/pipe ID</t>
  </si>
  <si>
    <t>Tube/pipe Area</t>
  </si>
  <si>
    <t>YE1 cooling parameters</t>
  </si>
  <si>
    <t>YE1 +X tower manifold</t>
  </si>
  <si>
    <t>YE1 -X tower manifold</t>
  </si>
  <si>
    <t>CSC cooling circuit ME/1/1</t>
  </si>
  <si>
    <t>RPC cooling circuit RE2</t>
  </si>
  <si>
    <t>YE3 cooling parameters</t>
  </si>
  <si>
    <t>YE3 periphery manifold</t>
  </si>
  <si>
    <t>RPC cooling circuit RE3</t>
  </si>
  <si>
    <t>1.6?</t>
  </si>
  <si>
    <t>CSC cooling circuit ME2/2, ME3/2</t>
  </si>
  <si>
    <t>CSC cooling circuit ME2/1, ME3/1</t>
  </si>
  <si>
    <t>Flow velocity</t>
  </si>
  <si>
    <t>CSC cooling circuit ME4/2</t>
  </si>
  <si>
    <t>CSC cooling circuit ME4/1</t>
  </si>
  <si>
    <t>2-4</t>
  </si>
  <si>
    <t>Reynolds</t>
  </si>
  <si>
    <t>unitless</t>
  </si>
  <si>
    <t>10.5psi/lvps</t>
  </si>
  <si>
    <t xml:space="preserve">RPC cooling circuit RE1/1, RBX </t>
  </si>
  <si>
    <t xml:space="preserve">HE cable tray/link boards </t>
  </si>
  <si>
    <t>CSC cooling circuit  ME/1/3</t>
  </si>
  <si>
    <t>CSC cooling circuit ME/1/2</t>
  </si>
  <si>
    <t>RPC cooling circuit  RE1/3</t>
  </si>
  <si>
    <t>RPC cooling circuit RE1/2</t>
  </si>
  <si>
    <t>HE cable tray</t>
  </si>
  <si>
    <t>Total flow-disk manifold</t>
  </si>
  <si>
    <t>Total flow-tower manifold</t>
  </si>
  <si>
    <t>LV periphery cable tray</t>
  </si>
  <si>
    <t>VME/ circuit (minirack)</t>
  </si>
  <si>
    <t>VME/CRBcircuit (minirack)</t>
  </si>
  <si>
    <t>Rack cooling circuit (low flow)</t>
  </si>
  <si>
    <t>Rack cooling circuit (high flow)</t>
  </si>
  <si>
    <t>lt/min</t>
  </si>
  <si>
    <t>Note: I believe that this number is uncertain because there are no flow restrictors in tower circuits.</t>
  </si>
  <si>
    <t>Note: Unpdated on Sept. 6,2007 to agree with Sergei's rack layout dated May 8,2007. Rack heat removals based on average requirement.</t>
  </si>
  <si>
    <t>VME/CRB circuit (minirack)</t>
  </si>
  <si>
    <t>RPC cooling circuit RE4</t>
  </si>
  <si>
    <t>m3/h</t>
  </si>
  <si>
    <t>ENDCAP COOLING CIRCUIT</t>
  </si>
  <si>
    <t>RACK COOLING CIRCUIT</t>
  </si>
  <si>
    <t>Original file by Armando</t>
  </si>
  <si>
    <t>Modification by PT to split Rack and Encap cooling circuit power/flow</t>
  </si>
  <si>
    <t>Data updated for RPC (mail of Salvatore)</t>
  </si>
  <si>
    <t>Upgrade needs added on Micha input</t>
  </si>
  <si>
    <t>ENDCAP circuit for 6 disks</t>
  </si>
  <si>
    <t>Heat removal/chamber</t>
  </si>
  <si>
    <t># chambers/circuit</t>
  </si>
  <si>
    <t>TOTAL YE1 periphery manifold</t>
  </si>
  <si>
    <t>?</t>
  </si>
  <si>
    <t>ENDCAP CIRCUIT - same for YE+1 &amp; YE-1</t>
  </si>
  <si>
    <t>RACK CIRCUIT - same for YE+1 &amp; YE-1</t>
  </si>
  <si>
    <t>ENDCAP CIRCUIT - same for YE+2 &amp; YE-2</t>
  </si>
  <si>
    <t>ENDCAP CIRCUIT - same for YE+3 &amp; YE-3</t>
  </si>
  <si>
    <t>LS2</t>
  </si>
  <si>
    <t>GEM cooling circuit GE1/1</t>
  </si>
  <si>
    <t>GEM cooling circuit GE2/1</t>
  </si>
  <si>
    <t>GEM cooling circuit ME0</t>
  </si>
  <si>
    <t>#</t>
  </si>
  <si>
    <t>LS3</t>
  </si>
  <si>
    <t>YE3 UPGRADE cooling parameters</t>
  </si>
  <si>
    <t>YE2 UPGRADE cooling parameters</t>
  </si>
  <si>
    <t>YE1 UPGRADE cooling parameters</t>
  </si>
  <si>
    <t>Replacement of electronics LS2</t>
  </si>
  <si>
    <t xml:space="preserve">YE+1 and YE-1 </t>
  </si>
  <si>
    <t xml:space="preserve">YE+2 and YE-2 </t>
  </si>
  <si>
    <t xml:space="preserve">YE+3 &amp; YE-3 </t>
  </si>
  <si>
    <t xml:space="preserve">Flow-Heat Summary for full circuit </t>
  </si>
  <si>
    <t xml:space="preserve">GEM cooling circuit GE1/1- demostrator </t>
  </si>
  <si>
    <t>Heat removal/chamber-superchamber</t>
  </si>
  <si>
    <t>Micha input on details for CSC, Andrey input on GEMs</t>
  </si>
  <si>
    <t>Input of Michele &amp; C. on new power dissipations GEMs &amp; ME0 - Paola taking out non-muon powers for LS3</t>
  </si>
  <si>
    <t>kW</t>
  </si>
  <si>
    <t>Nominal</t>
  </si>
  <si>
    <t>LS21/2</t>
  </si>
  <si>
    <t xml:space="preserve">REMOVED </t>
  </si>
  <si>
    <t>LS2 constant flow</t>
  </si>
  <si>
    <t>LS3 constant flow</t>
  </si>
  <si>
    <t>IN LS3 NO CHANGES WITH RESPECT TO LS2 on YE2</t>
  </si>
  <si>
    <t>LS2 request</t>
  </si>
  <si>
    <t>ME4/1heat per circuit rises to 780 W instead of 370 W</t>
  </si>
  <si>
    <t>The YE3 manifold flow rate increase is half of the RE3 station namely 18 litres/min on a total of 161 [litres/min] .</t>
  </si>
  <si>
    <t>LS3-nominal</t>
  </si>
  <si>
    <t>LS2-nominal</t>
  </si>
  <si>
    <t>The RE3/1 cooling is taken off the RE3/2 and RE3/3 system so there is no more flow and a minimal 0.1degC increase</t>
  </si>
  <si>
    <r>
      <t>RPC cooling circuit RE4/1</t>
    </r>
    <r>
      <rPr>
        <b/>
        <sz val="10"/>
        <rFont val="Arial"/>
        <family val="2"/>
      </rPr>
      <t xml:space="preserve"> </t>
    </r>
  </si>
  <si>
    <t>1 chamber more per cooling circuit on RE3 spigots</t>
  </si>
  <si>
    <t>The RE4/1 cooling is taken off the mini-manifolds of the other RE4 stations, using "T"s with 9 circuits out of 18 existing, giving a similar temp increase as the RE3 station.</t>
  </si>
  <si>
    <t>RPC upgrade chambers to be installed btween LS2 and LS3</t>
  </si>
  <si>
    <t>Measures '17/'18</t>
  </si>
  <si>
    <t>P. Tropea summary update</t>
  </si>
  <si>
    <t>LS3-LS2</t>
  </si>
  <si>
    <t>Changes for LS2</t>
  </si>
  <si>
    <t xml:space="preserve">GEM demostrator power is taken out </t>
  </si>
  <si>
    <t>GE1/1 installed and powered</t>
  </si>
  <si>
    <t>GE2/1 cooling prepared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</si>
</sst>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0" fillId="0" borderId="0" xfId="0" applyBorder="1" applyAlignment="1">
      <alignment horizontal="right" wrapText="1"/>
    </xf>
    <xf numFmtId="164" fontId="0" fillId="0" borderId="0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4" fillId="0" borderId="0" xfId="0" applyFont="1" applyFill="1"/>
    <xf numFmtId="0" fontId="4" fillId="0" borderId="0" xfId="0" applyFont="1"/>
    <xf numFmtId="164" fontId="0" fillId="0" borderId="2" xfId="0" applyNumberFormat="1" applyBorder="1" applyAlignment="1">
      <alignment horizontal="right"/>
    </xf>
    <xf numFmtId="0" fontId="0" fillId="2" borderId="3" xfId="0" applyFill="1" applyBorder="1" applyAlignment="1">
      <alignment horizontal="right" wrapText="1"/>
    </xf>
    <xf numFmtId="1" fontId="0" fillId="0" borderId="4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  <xf numFmtId="16" fontId="0" fillId="0" borderId="1" xfId="0" quotePrefix="1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4" borderId="1" xfId="0" applyFill="1" applyBorder="1" applyAlignment="1">
      <alignment horizontal="right"/>
    </xf>
    <xf numFmtId="1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Fill="1"/>
    <xf numFmtId="0" fontId="5" fillId="0" borderId="0" xfId="0" applyFont="1" applyFill="1"/>
    <xf numFmtId="0" fontId="1" fillId="0" borderId="0" xfId="0" applyFont="1" applyFill="1" applyBorder="1"/>
    <xf numFmtId="0" fontId="0" fillId="0" borderId="6" xfId="0" applyBorder="1" applyAlignment="1"/>
    <xf numFmtId="15" fontId="0" fillId="0" borderId="0" xfId="0" applyNumberFormat="1"/>
    <xf numFmtId="1" fontId="0" fillId="4" borderId="1" xfId="0" applyNumberFormat="1" applyFill="1" applyBorder="1" applyAlignment="1">
      <alignment horizontal="right"/>
    </xf>
    <xf numFmtId="1" fontId="0" fillId="4" borderId="0" xfId="0" applyNumberFormat="1" applyFill="1" applyBorder="1" applyAlignment="1">
      <alignment horizontal="right"/>
    </xf>
    <xf numFmtId="0" fontId="0" fillId="4" borderId="0" xfId="0" applyFill="1"/>
    <xf numFmtId="0" fontId="1" fillId="0" borderId="0" xfId="0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164" fontId="0" fillId="5" borderId="1" xfId="0" applyNumberFormat="1" applyFill="1" applyBorder="1" applyAlignment="1">
      <alignment horizontal="right"/>
    </xf>
    <xf numFmtId="1" fontId="0" fillId="5" borderId="1" xfId="0" applyNumberForma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2" xfId="0" applyFill="1" applyBorder="1" applyAlignment="1">
      <alignment horizontal="right"/>
    </xf>
    <xf numFmtId="0" fontId="1" fillId="5" borderId="1" xfId="0" applyFont="1" applyFill="1" applyBorder="1" applyAlignment="1">
      <alignment horizontal="right" wrapText="1"/>
    </xf>
    <xf numFmtId="1" fontId="0" fillId="0" borderId="0" xfId="0" applyNumberFormat="1"/>
    <xf numFmtId="0" fontId="0" fillId="4" borderId="0" xfId="0" applyFill="1" applyBorder="1" applyAlignment="1">
      <alignment horizontal="right"/>
    </xf>
    <xf numFmtId="164" fontId="0" fillId="4" borderId="0" xfId="0" applyNumberFormat="1" applyFill="1" applyBorder="1" applyAlignment="1">
      <alignment horizontal="right"/>
    </xf>
    <xf numFmtId="0" fontId="0" fillId="6" borderId="1" xfId="0" applyFill="1" applyBorder="1" applyAlignment="1">
      <alignment horizontal="right" wrapText="1"/>
    </xf>
    <xf numFmtId="0" fontId="0" fillId="6" borderId="0" xfId="0" applyFill="1"/>
    <xf numFmtId="0" fontId="1" fillId="6" borderId="1" xfId="0" applyFont="1" applyFill="1" applyBorder="1"/>
    <xf numFmtId="0" fontId="1" fillId="6" borderId="1" xfId="0" applyFont="1" applyFill="1" applyBorder="1" applyAlignment="1">
      <alignment horizontal="right"/>
    </xf>
    <xf numFmtId="1" fontId="1" fillId="6" borderId="1" xfId="0" applyNumberFormat="1" applyFont="1" applyFill="1" applyBorder="1" applyAlignment="1">
      <alignment horizontal="right"/>
    </xf>
    <xf numFmtId="164" fontId="1" fillId="6" borderId="1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0" fillId="0" borderId="0" xfId="0" applyFill="1" applyBorder="1"/>
    <xf numFmtId="0" fontId="5" fillId="0" borderId="0" xfId="0" applyFont="1" applyFill="1" applyBorder="1"/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/>
    <xf numFmtId="0" fontId="1" fillId="0" borderId="0" xfId="0" applyFont="1"/>
    <xf numFmtId="164" fontId="1" fillId="7" borderId="1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164" fontId="0" fillId="0" borderId="0" xfId="0" applyNumberFormat="1" applyFill="1" applyBorder="1"/>
    <xf numFmtId="0" fontId="0" fillId="8" borderId="1" xfId="0" applyFill="1" applyBorder="1" applyAlignment="1">
      <alignment horizontal="right" wrapText="1"/>
    </xf>
    <xf numFmtId="0" fontId="0" fillId="0" borderId="7" xfId="0" applyBorder="1" applyAlignment="1">
      <alignment horizontal="right"/>
    </xf>
    <xf numFmtId="0" fontId="6" fillId="9" borderId="1" xfId="0" applyFont="1" applyFill="1" applyBorder="1" applyAlignment="1">
      <alignment horizontal="right" wrapText="1"/>
    </xf>
    <xf numFmtId="164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 wrapText="1"/>
    </xf>
    <xf numFmtId="1" fontId="1" fillId="10" borderId="1" xfId="0" applyNumberFormat="1" applyFont="1" applyFill="1" applyBorder="1" applyAlignment="1">
      <alignment horizontal="right"/>
    </xf>
    <xf numFmtId="164" fontId="1" fillId="10" borderId="1" xfId="0" applyNumberFormat="1" applyFont="1" applyFill="1" applyBorder="1" applyAlignment="1">
      <alignment horizontal="right"/>
    </xf>
    <xf numFmtId="164" fontId="1" fillId="3" borderId="2" xfId="0" applyNumberFormat="1" applyFont="1" applyFill="1" applyBorder="1" applyAlignment="1">
      <alignment horizontal="right"/>
    </xf>
    <xf numFmtId="164" fontId="0" fillId="0" borderId="4" xfId="0" applyNumberFormat="1" applyFill="1" applyBorder="1" applyAlignment="1">
      <alignment horizontal="right"/>
    </xf>
    <xf numFmtId="164" fontId="0" fillId="0" borderId="7" xfId="0" applyNumberForma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11" borderId="0" xfId="0" applyFill="1"/>
    <xf numFmtId="0" fontId="6" fillId="11" borderId="1" xfId="0" applyFont="1" applyFill="1" applyBorder="1" applyAlignment="1">
      <alignment horizontal="right" wrapText="1"/>
    </xf>
    <xf numFmtId="164" fontId="0" fillId="11" borderId="7" xfId="0" applyNumberFormat="1" applyFill="1" applyBorder="1" applyAlignment="1">
      <alignment horizontal="right"/>
    </xf>
    <xf numFmtId="1" fontId="0" fillId="11" borderId="1" xfId="0" applyNumberFormat="1" applyFill="1" applyBorder="1" applyAlignment="1">
      <alignment horizontal="right"/>
    </xf>
    <xf numFmtId="0" fontId="0" fillId="11" borderId="4" xfId="0" applyFill="1" applyBorder="1" applyAlignment="1">
      <alignment horizontal="right"/>
    </xf>
    <xf numFmtId="164" fontId="0" fillId="11" borderId="1" xfId="0" applyNumberFormat="1" applyFill="1" applyBorder="1" applyAlignment="1">
      <alignment horizontal="right"/>
    </xf>
    <xf numFmtId="1" fontId="0" fillId="11" borderId="7" xfId="0" applyNumberFormat="1" applyFill="1" applyBorder="1" applyAlignment="1">
      <alignment horizontal="right"/>
    </xf>
    <xf numFmtId="1" fontId="0" fillId="11" borderId="4" xfId="0" applyNumberFormat="1" applyFill="1" applyBorder="1" applyAlignment="1">
      <alignment horizontal="right"/>
    </xf>
    <xf numFmtId="0" fontId="0" fillId="11" borderId="7" xfId="0" applyFill="1" applyBorder="1" applyAlignment="1">
      <alignment horizontal="right"/>
    </xf>
    <xf numFmtId="0" fontId="0" fillId="11" borderId="1" xfId="0" applyFill="1" applyBorder="1" applyAlignment="1">
      <alignment horizontal="right"/>
    </xf>
    <xf numFmtId="0" fontId="0" fillId="11" borderId="0" xfId="0" applyFill="1" applyAlignment="1">
      <alignment horizontal="right"/>
    </xf>
    <xf numFmtId="0" fontId="0" fillId="12" borderId="0" xfId="0" applyFill="1"/>
    <xf numFmtId="0" fontId="3" fillId="12" borderId="1" xfId="0" applyFont="1" applyFill="1" applyBorder="1" applyAlignment="1">
      <alignment horizontal="right" wrapText="1"/>
    </xf>
    <xf numFmtId="0" fontId="0" fillId="12" borderId="1" xfId="0" applyFill="1" applyBorder="1" applyAlignment="1">
      <alignment horizontal="right" wrapText="1"/>
    </xf>
    <xf numFmtId="164" fontId="0" fillId="12" borderId="1" xfId="0" applyNumberFormat="1" applyFill="1" applyBorder="1" applyAlignment="1">
      <alignment horizontal="right"/>
    </xf>
    <xf numFmtId="1" fontId="0" fillId="12" borderId="1" xfId="0" applyNumberFormat="1" applyFill="1" applyBorder="1" applyAlignment="1">
      <alignment horizontal="right"/>
    </xf>
    <xf numFmtId="0" fontId="0" fillId="12" borderId="1" xfId="0" applyFill="1" applyBorder="1" applyAlignment="1">
      <alignment horizontal="right"/>
    </xf>
    <xf numFmtId="0" fontId="0" fillId="12" borderId="3" xfId="0" applyFill="1" applyBorder="1" applyAlignment="1">
      <alignment horizontal="right"/>
    </xf>
    <xf numFmtId="0" fontId="0" fillId="12" borderId="4" xfId="0" applyFill="1" applyBorder="1" applyAlignment="1">
      <alignment horizontal="right"/>
    </xf>
    <xf numFmtId="0" fontId="0" fillId="12" borderId="1" xfId="0" applyFill="1" applyBorder="1"/>
    <xf numFmtId="0" fontId="0" fillId="12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0" fillId="9" borderId="2" xfId="0" applyNumberFormat="1" applyFill="1" applyBorder="1" applyAlignment="1">
      <alignment horizontal="right"/>
    </xf>
    <xf numFmtId="1" fontId="0" fillId="9" borderId="1" xfId="0" applyNumberFormat="1" applyFill="1" applyBorder="1" applyAlignment="1">
      <alignment horizontal="right"/>
    </xf>
    <xf numFmtId="164" fontId="0" fillId="9" borderId="1" xfId="0" applyNumberFormat="1" applyFill="1" applyBorder="1" applyAlignment="1">
      <alignment horizontal="right"/>
    </xf>
    <xf numFmtId="0" fontId="0" fillId="9" borderId="1" xfId="0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4" borderId="2" xfId="0" applyNumberFormat="1" applyFont="1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64" fontId="1" fillId="13" borderId="2" xfId="0" applyNumberFormat="1" applyFont="1" applyFill="1" applyBorder="1" applyAlignment="1">
      <alignment horizontal="right"/>
    </xf>
    <xf numFmtId="164" fontId="1" fillId="13" borderId="1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Border="1"/>
    <xf numFmtId="0" fontId="1" fillId="1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workbookViewId="0">
      <selection activeCell="G19" sqref="G19"/>
    </sheetView>
  </sheetViews>
  <sheetFormatPr baseColWidth="10" defaultColWidth="11.5" defaultRowHeight="13" x14ac:dyDescent="0.15"/>
  <sheetData>
    <row r="1" spans="1:2" x14ac:dyDescent="0.15">
      <c r="A1" s="37">
        <v>42402</v>
      </c>
      <c r="B1" t="s">
        <v>67</v>
      </c>
    </row>
    <row r="2" spans="1:2" x14ac:dyDescent="0.15">
      <c r="A2" s="37">
        <v>42405</v>
      </c>
      <c r="B2" t="s">
        <v>68</v>
      </c>
    </row>
    <row r="3" spans="1:2" x14ac:dyDescent="0.15">
      <c r="A3" s="37">
        <v>42409</v>
      </c>
      <c r="B3" t="s">
        <v>69</v>
      </c>
    </row>
    <row r="4" spans="1:2" x14ac:dyDescent="0.15">
      <c r="A4" s="37">
        <v>42935</v>
      </c>
      <c r="B4" t="s">
        <v>70</v>
      </c>
    </row>
    <row r="5" spans="1:2" x14ac:dyDescent="0.15">
      <c r="A5" s="37">
        <v>42936</v>
      </c>
      <c r="B5" t="s">
        <v>96</v>
      </c>
    </row>
    <row r="6" spans="1:2" x14ac:dyDescent="0.15">
      <c r="A6" s="37">
        <v>43417</v>
      </c>
      <c r="B6" t="s">
        <v>97</v>
      </c>
    </row>
    <row r="7" spans="1:2" x14ac:dyDescent="0.15">
      <c r="A7" s="37">
        <v>43418</v>
      </c>
      <c r="B7" t="s">
        <v>116</v>
      </c>
    </row>
  </sheetData>
  <pageMargins left="0.75" right="0.75" top="1" bottom="1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35"/>
  <sheetViews>
    <sheetView showGridLines="0" zoomScale="130" zoomScaleNormal="130" workbookViewId="0">
      <selection activeCell="G19" sqref="G19"/>
    </sheetView>
  </sheetViews>
  <sheetFormatPr baseColWidth="10" defaultColWidth="8.83203125" defaultRowHeight="13" x14ac:dyDescent="0.15"/>
  <cols>
    <col min="1" max="1" width="22.6640625" customWidth="1"/>
    <col min="2" max="2" width="7.6640625" customWidth="1"/>
    <col min="3" max="3" width="8.6640625" customWidth="1"/>
    <col min="4" max="7" width="7.6640625" customWidth="1"/>
    <col min="8" max="8" width="10.1640625" customWidth="1"/>
    <col min="9" max="9" width="7.6640625" customWidth="1"/>
    <col min="10" max="10" width="8.6640625" customWidth="1"/>
    <col min="11" max="11" width="7.6640625" customWidth="1"/>
    <col min="12" max="12" width="9" customWidth="1"/>
    <col min="13" max="53" width="8.83203125" style="60"/>
  </cols>
  <sheetData>
    <row r="1" spans="1:53" ht="18" x14ac:dyDescent="0.2">
      <c r="A1" s="20" t="s">
        <v>86</v>
      </c>
      <c r="E1" t="s">
        <v>89</v>
      </c>
    </row>
    <row r="2" spans="1:53" x14ac:dyDescent="0.15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53" ht="70" x14ac:dyDescent="0.15">
      <c r="A3" s="11"/>
      <c r="B3" s="14" t="s">
        <v>3</v>
      </c>
      <c r="C3" s="47" t="s">
        <v>33</v>
      </c>
      <c r="D3" s="14" t="s">
        <v>39</v>
      </c>
      <c r="E3" s="78" t="s">
        <v>40</v>
      </c>
      <c r="F3" s="14" t="s">
        <v>34</v>
      </c>
      <c r="G3" s="14" t="s">
        <v>63</v>
      </c>
      <c r="H3" s="78" t="s">
        <v>111</v>
      </c>
      <c r="I3" s="14" t="s">
        <v>13</v>
      </c>
      <c r="J3" s="15" t="s">
        <v>56</v>
      </c>
      <c r="K3" s="14" t="s">
        <v>57</v>
      </c>
      <c r="L3" s="14" t="s">
        <v>58</v>
      </c>
    </row>
    <row r="4" spans="1:53" x14ac:dyDescent="0.15">
      <c r="A4" s="13" t="s">
        <v>1</v>
      </c>
      <c r="B4" s="4" t="s">
        <v>6</v>
      </c>
      <c r="C4" s="43">
        <v>48.26</v>
      </c>
      <c r="D4" s="5">
        <v>9.5250000000000004</v>
      </c>
      <c r="E4" s="5">
        <v>9.5250000000000004</v>
      </c>
      <c r="F4" s="5">
        <v>8</v>
      </c>
      <c r="G4" s="5">
        <v>8</v>
      </c>
      <c r="H4" s="77">
        <v>8</v>
      </c>
      <c r="I4" s="5">
        <v>12.7</v>
      </c>
      <c r="J4" s="5">
        <v>12.7</v>
      </c>
      <c r="K4" s="5">
        <v>12.7</v>
      </c>
      <c r="L4" s="5">
        <v>12.7</v>
      </c>
      <c r="N4" s="69"/>
      <c r="O4" s="69"/>
      <c r="P4" s="69"/>
      <c r="Q4" s="69"/>
      <c r="R4" s="69"/>
      <c r="S4" s="69"/>
      <c r="T4" s="69"/>
      <c r="U4" s="69"/>
      <c r="V4" s="69"/>
      <c r="W4" s="69"/>
    </row>
    <row r="5" spans="1:53" x14ac:dyDescent="0.15">
      <c r="A5" s="13" t="s">
        <v>2</v>
      </c>
      <c r="B5" s="4" t="s">
        <v>6</v>
      </c>
      <c r="C5" s="43">
        <v>1.65</v>
      </c>
      <c r="D5" s="5">
        <v>0.81279999999999997</v>
      </c>
      <c r="E5" s="5">
        <v>0.81279999999999997</v>
      </c>
      <c r="F5" s="5">
        <v>1</v>
      </c>
      <c r="G5" s="5">
        <v>1</v>
      </c>
      <c r="H5" s="77">
        <v>1</v>
      </c>
      <c r="I5" s="5">
        <v>1.24</v>
      </c>
      <c r="J5" s="5">
        <v>1.24</v>
      </c>
      <c r="K5" s="5">
        <v>1.24</v>
      </c>
      <c r="L5" s="5">
        <v>1.24</v>
      </c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53" x14ac:dyDescent="0.15">
      <c r="A6" s="13" t="s">
        <v>25</v>
      </c>
      <c r="B6" s="4" t="s">
        <v>6</v>
      </c>
      <c r="C6" s="43">
        <f t="shared" ref="C6:J6" si="0">C4-(2*C5)</f>
        <v>44.96</v>
      </c>
      <c r="D6" s="5">
        <f t="shared" si="0"/>
        <v>7.8994</v>
      </c>
      <c r="E6" s="5">
        <f t="shared" si="0"/>
        <v>7.8994</v>
      </c>
      <c r="F6" s="5">
        <f t="shared" si="0"/>
        <v>6</v>
      </c>
      <c r="G6" s="5">
        <f>G4-(2*G5)</f>
        <v>6</v>
      </c>
      <c r="H6" s="77">
        <v>6</v>
      </c>
      <c r="I6" s="5">
        <f t="shared" si="0"/>
        <v>10.219999999999999</v>
      </c>
      <c r="J6" s="5">
        <f t="shared" si="0"/>
        <v>10.219999999999999</v>
      </c>
      <c r="K6" s="5">
        <f>K4-(2*K5)</f>
        <v>10.219999999999999</v>
      </c>
      <c r="L6" s="5">
        <f>L4-(2*L5)</f>
        <v>10.219999999999999</v>
      </c>
      <c r="N6" s="69"/>
      <c r="O6" s="69"/>
      <c r="P6" s="69"/>
      <c r="Q6" s="69"/>
      <c r="R6" s="69"/>
      <c r="S6" s="69"/>
      <c r="T6" s="69"/>
      <c r="U6" s="69"/>
      <c r="V6" s="69"/>
      <c r="W6" s="69"/>
    </row>
    <row r="7" spans="1:53" ht="15" x14ac:dyDescent="0.15">
      <c r="A7" s="13" t="s">
        <v>26</v>
      </c>
      <c r="B7" s="4" t="s">
        <v>11</v>
      </c>
      <c r="C7" s="44">
        <f t="shared" ref="C7:J7" si="1">0.25*3.14*(C6^2)</f>
        <v>1586.8002560000002</v>
      </c>
      <c r="D7" s="6">
        <f t="shared" si="1"/>
        <v>48.984408482600003</v>
      </c>
      <c r="E7" s="6">
        <f t="shared" si="1"/>
        <v>48.984408482600003</v>
      </c>
      <c r="F7" s="6">
        <f t="shared" si="1"/>
        <v>28.26</v>
      </c>
      <c r="G7" s="6">
        <f>0.25*3.14*(G6^2)</f>
        <v>28.26</v>
      </c>
      <c r="H7" s="38">
        <v>28</v>
      </c>
      <c r="I7" s="6">
        <f t="shared" si="1"/>
        <v>81.991993999999991</v>
      </c>
      <c r="J7" s="6">
        <f t="shared" si="1"/>
        <v>81.991993999999991</v>
      </c>
      <c r="K7" s="6">
        <f>0.25*3.14*(K6^2)</f>
        <v>81.991993999999991</v>
      </c>
      <c r="L7" s="6">
        <f>0.25*3.14*(L6^2)</f>
        <v>81.991993999999991</v>
      </c>
      <c r="N7" s="69"/>
      <c r="O7" s="69"/>
      <c r="P7" s="69"/>
      <c r="Q7" s="69"/>
      <c r="R7" s="69"/>
      <c r="S7" s="69"/>
      <c r="T7" s="69"/>
      <c r="U7" s="69"/>
      <c r="V7" s="69"/>
      <c r="W7" s="69"/>
    </row>
    <row r="8" spans="1:53" s="40" customFormat="1" x14ac:dyDescent="0.15">
      <c r="A8" s="13" t="s">
        <v>4</v>
      </c>
      <c r="B8" s="4" t="s">
        <v>7</v>
      </c>
      <c r="C8" s="44">
        <f>SUMPRODUCT(D8:L8,D16:L16)</f>
        <v>227</v>
      </c>
      <c r="D8" s="32">
        <f>'Present YE3'!D8</f>
        <v>2.2999999999999998</v>
      </c>
      <c r="E8" s="29">
        <v>4</v>
      </c>
      <c r="F8" s="32">
        <f>'Present YE3'!F8</f>
        <v>2</v>
      </c>
      <c r="G8" s="32">
        <f>'Present YE3'!G8</f>
        <v>2</v>
      </c>
      <c r="H8" s="29">
        <v>2</v>
      </c>
      <c r="I8" s="32">
        <f>'Present YE3'!H8</f>
        <v>2</v>
      </c>
      <c r="J8" s="32">
        <f>'Present YE3'!I8</f>
        <v>4.7</v>
      </c>
      <c r="K8" s="32">
        <f>'Present YE3'!J8</f>
        <v>4.7</v>
      </c>
      <c r="L8" s="32">
        <f>'Present YE3'!K8</f>
        <v>9.5</v>
      </c>
      <c r="M8" s="60"/>
      <c r="N8" s="69"/>
      <c r="O8" s="69"/>
      <c r="P8" s="69"/>
      <c r="Q8" s="69"/>
      <c r="R8" s="69"/>
      <c r="S8" s="69"/>
      <c r="T8" s="69"/>
      <c r="U8" s="69"/>
      <c r="V8" s="69"/>
      <c r="W8" s="69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</row>
    <row r="9" spans="1:53" x14ac:dyDescent="0.15">
      <c r="A9" s="13" t="s">
        <v>38</v>
      </c>
      <c r="B9" s="4" t="s">
        <v>14</v>
      </c>
      <c r="C9" s="44">
        <f t="shared" ref="C9:J9" si="2">(C8*1000/60)/C7</f>
        <v>2.3842530394281289</v>
      </c>
      <c r="D9" s="5">
        <f t="shared" si="2"/>
        <v>0.78256193186348078</v>
      </c>
      <c r="E9" s="31">
        <f t="shared" si="2"/>
        <v>1.3609772728060536</v>
      </c>
      <c r="F9" s="31">
        <f t="shared" si="2"/>
        <v>1.1795234725171031</v>
      </c>
      <c r="G9" s="31">
        <f>(G8*1000/60)/G7</f>
        <v>1.1795234725171031</v>
      </c>
      <c r="H9" s="31">
        <v>1.2</v>
      </c>
      <c r="I9" s="5">
        <f t="shared" si="2"/>
        <v>0.40654375759337358</v>
      </c>
      <c r="J9" s="5">
        <f t="shared" si="2"/>
        <v>0.95537783034442769</v>
      </c>
      <c r="K9" s="5">
        <f>(K8*1000/60)/K7</f>
        <v>0.95537783034442769</v>
      </c>
      <c r="L9" s="5">
        <f>(L8*1000/60)/L7</f>
        <v>1.9310828485685243</v>
      </c>
      <c r="N9" s="69"/>
      <c r="O9" s="69"/>
      <c r="P9" s="69"/>
      <c r="Q9" s="69"/>
      <c r="R9" s="69"/>
      <c r="S9" s="69"/>
      <c r="T9" s="69"/>
      <c r="U9" s="69"/>
      <c r="V9" s="69"/>
      <c r="W9" s="69"/>
    </row>
    <row r="10" spans="1:53" x14ac:dyDescent="0.15">
      <c r="A10" s="13" t="s">
        <v>42</v>
      </c>
      <c r="B10" s="4" t="s">
        <v>43</v>
      </c>
      <c r="C10" s="44">
        <f t="shared" ref="C10:J10" si="3">(C9*(C6/1000))/(1.035*10^-6)</f>
        <v>103571.03058230791</v>
      </c>
      <c r="D10" s="6">
        <f t="shared" si="3"/>
        <v>5972.7243715578552</v>
      </c>
      <c r="E10" s="30">
        <f t="shared" si="3"/>
        <v>10387.346733144097</v>
      </c>
      <c r="F10" s="30">
        <f t="shared" si="3"/>
        <v>6837.8172319832074</v>
      </c>
      <c r="G10" s="30">
        <f>(G9*(G6/1000))/(1.035*10^-6)</f>
        <v>6837.8172319832074</v>
      </c>
      <c r="H10" s="30">
        <v>6838</v>
      </c>
      <c r="I10" s="6">
        <f t="shared" si="3"/>
        <v>4014.374108796404</v>
      </c>
      <c r="J10" s="6">
        <f t="shared" si="3"/>
        <v>9433.7791556715456</v>
      </c>
      <c r="K10" s="6">
        <f>(K9*(K6/1000))/(1.035*10^-6)</f>
        <v>9433.7791556715456</v>
      </c>
      <c r="L10" s="6">
        <f>(L9*(L6/1000))/(1.035*10^-6)</f>
        <v>19068.277016782915</v>
      </c>
      <c r="N10" s="69"/>
      <c r="O10" s="69"/>
      <c r="P10" s="69"/>
      <c r="Q10" s="69"/>
      <c r="R10" s="69"/>
      <c r="S10" s="69"/>
      <c r="T10" s="69"/>
      <c r="U10" s="69"/>
      <c r="V10" s="69"/>
      <c r="W10" s="69"/>
    </row>
    <row r="11" spans="1:53" s="40" customFormat="1" x14ac:dyDescent="0.15">
      <c r="A11" s="13" t="s">
        <v>72</v>
      </c>
      <c r="B11" s="4" t="s">
        <v>8</v>
      </c>
      <c r="C11" s="44"/>
      <c r="D11" s="30">
        <f>'Present YE3'!D11</f>
        <v>0</v>
      </c>
      <c r="E11" s="38">
        <v>260</v>
      </c>
      <c r="F11" s="30">
        <f>'Present YE3'!F11</f>
        <v>20</v>
      </c>
      <c r="G11" s="30">
        <f>'Present YE3'!G11</f>
        <v>20</v>
      </c>
      <c r="H11" s="38">
        <v>20</v>
      </c>
      <c r="I11" s="30">
        <f>'Present YE3'!H11</f>
        <v>0</v>
      </c>
      <c r="J11" s="30">
        <f>'Present YE3'!I11</f>
        <v>0</v>
      </c>
      <c r="K11" s="30">
        <f>'Present YE3'!J11</f>
        <v>0</v>
      </c>
      <c r="L11" s="30">
        <f>'Present YE3'!K11</f>
        <v>0</v>
      </c>
      <c r="M11" s="60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</row>
    <row r="12" spans="1:53" s="40" customFormat="1" x14ac:dyDescent="0.15">
      <c r="A12" s="13" t="s">
        <v>73</v>
      </c>
      <c r="B12" s="4" t="s">
        <v>84</v>
      </c>
      <c r="C12" s="44"/>
      <c r="D12" s="30">
        <f>'Present YE3'!D12</f>
        <v>0</v>
      </c>
      <c r="E12" s="38">
        <v>3</v>
      </c>
      <c r="F12" s="38">
        <v>5</v>
      </c>
      <c r="G12" s="30">
        <f>'Present YE3'!G12</f>
        <v>4</v>
      </c>
      <c r="H12" s="38">
        <v>2</v>
      </c>
      <c r="I12" s="30">
        <f>'Present YE3'!H12</f>
        <v>0</v>
      </c>
      <c r="J12" s="30">
        <f>'Present YE3'!I12</f>
        <v>0</v>
      </c>
      <c r="K12" s="30">
        <f>'Present YE3'!J12</f>
        <v>0</v>
      </c>
      <c r="L12" s="30">
        <f>'Present YE3'!K12</f>
        <v>0</v>
      </c>
      <c r="M12" s="60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</row>
    <row r="13" spans="1:53" x14ac:dyDescent="0.15">
      <c r="A13" s="13" t="s">
        <v>17</v>
      </c>
      <c r="B13" s="4" t="s">
        <v>8</v>
      </c>
      <c r="C13" s="44">
        <f>SUMPRODUCT(D13:L13,D16:L16)</f>
        <v>24852</v>
      </c>
      <c r="D13" s="6">
        <v>360</v>
      </c>
      <c r="E13" s="38">
        <v>780</v>
      </c>
      <c r="F13" s="6">
        <f>F12*F11</f>
        <v>100</v>
      </c>
      <c r="G13" s="6">
        <f>G12*G11</f>
        <v>80</v>
      </c>
      <c r="H13" s="38">
        <v>40</v>
      </c>
      <c r="I13" s="6"/>
      <c r="J13" s="6">
        <v>426</v>
      </c>
      <c r="K13" s="6">
        <v>1000</v>
      </c>
      <c r="L13" s="6">
        <v>2516</v>
      </c>
      <c r="N13" s="69"/>
      <c r="O13" s="69"/>
      <c r="P13" s="69"/>
      <c r="Q13" s="69"/>
      <c r="R13" s="69"/>
      <c r="S13" s="69"/>
      <c r="T13" s="69"/>
      <c r="U13" s="69"/>
      <c r="V13" s="69"/>
      <c r="W13" s="69"/>
    </row>
    <row r="14" spans="1:53" x14ac:dyDescent="0.15">
      <c r="A14" s="13" t="s">
        <v>20</v>
      </c>
      <c r="B14" s="4" t="s">
        <v>5</v>
      </c>
      <c r="C14" s="44">
        <f t="shared" ref="C14:J14" si="4">C13/(C8/60)/4180</f>
        <v>1.5714857829395275</v>
      </c>
      <c r="D14" s="5">
        <f t="shared" si="4"/>
        <v>2.2467235281880593</v>
      </c>
      <c r="E14" s="77">
        <f t="shared" si="4"/>
        <v>2.799043062200957</v>
      </c>
      <c r="F14" s="5">
        <f t="shared" si="4"/>
        <v>0.71770334928229662</v>
      </c>
      <c r="G14" s="5">
        <f>G13/(G8/60)/4180</f>
        <v>0.57416267942583732</v>
      </c>
      <c r="H14" s="77">
        <v>0.2</v>
      </c>
      <c r="I14" s="5">
        <f t="shared" si="4"/>
        <v>0</v>
      </c>
      <c r="J14" s="5">
        <f t="shared" si="4"/>
        <v>1.3010281991245036</v>
      </c>
      <c r="K14" s="5">
        <f>K13/(K8/60)/4180</f>
        <v>3.0540568054565815</v>
      </c>
      <c r="L14" s="5">
        <f>L13/(L8/60)/4180</f>
        <v>3.8015613195668601</v>
      </c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1:53" x14ac:dyDescent="0.15">
      <c r="A15" s="13"/>
      <c r="B15" s="4"/>
      <c r="C15" s="44"/>
      <c r="D15" s="4"/>
      <c r="E15" s="29"/>
      <c r="F15" s="4"/>
      <c r="G15" s="4"/>
      <c r="H15" s="29"/>
      <c r="I15" s="4"/>
      <c r="J15" s="4"/>
      <c r="K15" s="4"/>
      <c r="L15" s="4"/>
      <c r="N15" s="69"/>
      <c r="O15" s="69"/>
      <c r="P15" s="69"/>
      <c r="Q15" s="69"/>
      <c r="R15" s="69"/>
      <c r="S15" s="69"/>
      <c r="T15" s="69"/>
      <c r="U15" s="69"/>
      <c r="V15" s="69"/>
      <c r="W15" s="69"/>
    </row>
    <row r="16" spans="1:53" s="40" customFormat="1" x14ac:dyDescent="0.15">
      <c r="A16" s="13" t="s">
        <v>9</v>
      </c>
      <c r="B16" s="4" t="s">
        <v>10</v>
      </c>
      <c r="C16" s="44">
        <v>1</v>
      </c>
      <c r="D16" s="30">
        <f>'Present YE3'!D16</f>
        <v>12</v>
      </c>
      <c r="E16" s="29">
        <v>6</v>
      </c>
      <c r="F16" s="30">
        <f>'Present YE3'!F16</f>
        <v>18</v>
      </c>
      <c r="G16" s="30">
        <f>'Present YE3'!G16</f>
        <v>18</v>
      </c>
      <c r="H16" s="29">
        <v>9</v>
      </c>
      <c r="I16" s="30">
        <v>12</v>
      </c>
      <c r="J16" s="30">
        <f>'Present YE3'!I16</f>
        <v>4</v>
      </c>
      <c r="K16" s="30">
        <f>'Present YE3'!J16</f>
        <v>3</v>
      </c>
      <c r="L16" s="30">
        <f>'Present YE3'!K16</f>
        <v>3</v>
      </c>
      <c r="M16" s="60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</row>
    <row r="17" spans="1:53" x14ac:dyDescent="0.15">
      <c r="A17" s="13" t="s">
        <v>19</v>
      </c>
      <c r="B17" s="4" t="s">
        <v>7</v>
      </c>
      <c r="C17" s="44">
        <f>SUM(D17:L17)</f>
        <v>227</v>
      </c>
      <c r="D17" s="4">
        <f>D16*D8</f>
        <v>27.599999999999998</v>
      </c>
      <c r="E17" s="29">
        <f>E16*E8</f>
        <v>24</v>
      </c>
      <c r="F17" s="4">
        <f t="shared" ref="F17:L17" si="5">F16*F8</f>
        <v>36</v>
      </c>
      <c r="G17" s="4">
        <f>G16*G8</f>
        <v>36</v>
      </c>
      <c r="H17" s="29">
        <v>18</v>
      </c>
      <c r="I17" s="4">
        <f t="shared" ref="I17" si="6">I16*I8</f>
        <v>24</v>
      </c>
      <c r="J17" s="4">
        <f t="shared" si="5"/>
        <v>18.8</v>
      </c>
      <c r="K17" s="4">
        <f t="shared" si="5"/>
        <v>14.100000000000001</v>
      </c>
      <c r="L17" s="4">
        <f t="shared" si="5"/>
        <v>28.5</v>
      </c>
      <c r="N17" s="69"/>
      <c r="O17" s="69"/>
      <c r="P17" s="69"/>
      <c r="Q17" s="69"/>
      <c r="R17" s="69"/>
      <c r="S17" s="69"/>
      <c r="T17" s="69"/>
      <c r="U17" s="69"/>
      <c r="V17" s="69"/>
      <c r="W17" s="69"/>
    </row>
    <row r="18" spans="1:53" x14ac:dyDescent="0.15">
      <c r="A18" s="13" t="s">
        <v>22</v>
      </c>
      <c r="B18" s="4" t="s">
        <v>8</v>
      </c>
      <c r="C18" s="44">
        <f>SUM(D18:L18)</f>
        <v>24852</v>
      </c>
      <c r="D18" s="6">
        <f>D16*D13</f>
        <v>4320</v>
      </c>
      <c r="E18" s="38">
        <f>E16*E13</f>
        <v>4680</v>
      </c>
      <c r="F18" s="6">
        <f>F16*F13</f>
        <v>1800</v>
      </c>
      <c r="G18" s="6">
        <f>G16*G13</f>
        <v>1440</v>
      </c>
      <c r="H18" s="6">
        <f>H16*H13</f>
        <v>360</v>
      </c>
      <c r="I18" s="6"/>
      <c r="J18" s="6">
        <f>J16*J13</f>
        <v>1704</v>
      </c>
      <c r="K18" s="6">
        <f>K16*K13</f>
        <v>3000</v>
      </c>
      <c r="L18" s="6">
        <f>L16*L13</f>
        <v>7548</v>
      </c>
      <c r="N18" s="69"/>
      <c r="O18" s="69"/>
      <c r="P18" s="69"/>
      <c r="Q18" s="69"/>
      <c r="R18" s="69"/>
      <c r="S18" s="69"/>
      <c r="T18" s="69"/>
      <c r="U18" s="69"/>
      <c r="V18" s="69"/>
      <c r="W18" s="69"/>
    </row>
    <row r="19" spans="1:53" x14ac:dyDescent="0.15">
      <c r="A19" s="13" t="s">
        <v>24</v>
      </c>
      <c r="B19" s="4" t="s">
        <v>8</v>
      </c>
      <c r="C19" s="44"/>
      <c r="D19" s="4"/>
      <c r="E19" s="4"/>
      <c r="F19" s="4"/>
      <c r="G19" s="4"/>
      <c r="H19" s="4"/>
      <c r="I19" s="3">
        <f>I16*I13</f>
        <v>0</v>
      </c>
      <c r="J19" s="3"/>
      <c r="K19" s="4"/>
      <c r="L19" s="4"/>
      <c r="N19" s="69"/>
      <c r="O19" s="69"/>
      <c r="P19" s="69"/>
      <c r="Q19" s="69"/>
      <c r="R19" s="69"/>
      <c r="S19" s="69"/>
      <c r="T19" s="69"/>
      <c r="U19" s="69"/>
      <c r="V19" s="69"/>
      <c r="W19" s="69"/>
    </row>
    <row r="20" spans="1:53" x14ac:dyDescent="0.15">
      <c r="A20" s="13"/>
      <c r="B20" s="4"/>
      <c r="C20" s="44"/>
      <c r="D20" s="4"/>
      <c r="E20" s="4"/>
      <c r="F20" s="4"/>
      <c r="G20" s="4"/>
      <c r="H20" s="4"/>
      <c r="I20" s="3"/>
      <c r="J20" s="3"/>
      <c r="K20" s="4"/>
      <c r="L20" s="4"/>
      <c r="N20" s="69"/>
      <c r="O20" s="69"/>
      <c r="P20" s="69"/>
      <c r="Q20" s="69"/>
      <c r="R20" s="69"/>
      <c r="S20" s="69"/>
      <c r="T20" s="69"/>
      <c r="U20" s="69"/>
      <c r="V20" s="69"/>
      <c r="W20" s="69"/>
    </row>
    <row r="21" spans="1:53" x14ac:dyDescent="0.15">
      <c r="A21" s="13" t="s">
        <v>15</v>
      </c>
      <c r="B21" s="4" t="s">
        <v>0</v>
      </c>
      <c r="C21" s="44"/>
      <c r="D21" s="4"/>
      <c r="E21" s="4"/>
      <c r="F21" s="4"/>
      <c r="G21" s="4"/>
      <c r="H21" s="4"/>
      <c r="I21" s="4"/>
      <c r="J21" s="4"/>
      <c r="K21" s="4"/>
      <c r="L21" s="4"/>
      <c r="N21" s="69"/>
      <c r="O21" s="69"/>
      <c r="P21" s="69"/>
      <c r="Q21" s="69"/>
      <c r="R21" s="69"/>
      <c r="S21" s="69"/>
      <c r="T21" s="69"/>
      <c r="U21" s="69"/>
      <c r="V21" s="69"/>
      <c r="W21" s="69"/>
    </row>
    <row r="22" spans="1:53" x14ac:dyDescent="0.15">
      <c r="A22" s="12"/>
      <c r="B22" s="10"/>
      <c r="C22" s="10"/>
      <c r="D22" s="10"/>
      <c r="E22" s="10"/>
      <c r="F22" s="10"/>
      <c r="G22" s="10"/>
      <c r="H22" s="10"/>
      <c r="I22" s="12"/>
      <c r="J22" s="12"/>
      <c r="K22" s="10"/>
      <c r="L22" s="10"/>
      <c r="N22" s="69"/>
      <c r="O22" s="69"/>
      <c r="P22" s="69"/>
      <c r="Q22" s="69"/>
      <c r="R22" s="69"/>
      <c r="S22" s="69"/>
      <c r="T22" s="69"/>
      <c r="U22" s="69"/>
      <c r="V22" s="69"/>
      <c r="W22" s="69"/>
    </row>
    <row r="23" spans="1:53" x14ac:dyDescent="0.15">
      <c r="A23" s="65" t="s">
        <v>79</v>
      </c>
      <c r="B23" s="10"/>
      <c r="C23" s="10"/>
      <c r="D23" s="10"/>
      <c r="E23" s="10"/>
      <c r="F23" s="10"/>
      <c r="G23" s="10"/>
      <c r="H23" s="10"/>
      <c r="I23" s="12"/>
      <c r="J23" s="12"/>
      <c r="K23" s="10"/>
      <c r="L23" s="10"/>
      <c r="N23" s="69"/>
      <c r="O23" s="69"/>
      <c r="P23" s="69"/>
      <c r="Q23" s="69"/>
      <c r="R23" s="69"/>
      <c r="S23" s="69"/>
      <c r="T23" s="69"/>
      <c r="U23" s="69"/>
      <c r="V23" s="69"/>
      <c r="W23" s="69"/>
    </row>
    <row r="24" spans="1:53" x14ac:dyDescent="0.15">
      <c r="A24" s="16" t="s">
        <v>19</v>
      </c>
      <c r="B24" s="17" t="s">
        <v>7</v>
      </c>
      <c r="C24" s="18">
        <f>C8</f>
        <v>227</v>
      </c>
      <c r="D24" s="2"/>
      <c r="E24" s="2"/>
      <c r="F24" s="2"/>
      <c r="G24" s="2"/>
      <c r="H24" s="2"/>
      <c r="K24" s="2"/>
      <c r="L24" s="2"/>
      <c r="N24" s="69"/>
      <c r="O24" s="69"/>
      <c r="P24" s="69"/>
      <c r="Q24" s="69"/>
      <c r="R24" s="69"/>
      <c r="S24" s="69"/>
      <c r="T24" s="69"/>
      <c r="U24" s="69"/>
      <c r="V24" s="69"/>
      <c r="W24" s="69"/>
    </row>
    <row r="25" spans="1:53" x14ac:dyDescent="0.15">
      <c r="A25" s="16" t="s">
        <v>23</v>
      </c>
      <c r="B25" s="17" t="s">
        <v>98</v>
      </c>
      <c r="C25" s="18">
        <f>C18/1000</f>
        <v>24.852</v>
      </c>
      <c r="D25" s="2"/>
      <c r="E25" s="2"/>
      <c r="F25" s="2"/>
      <c r="G25" s="2"/>
      <c r="H25" s="2"/>
      <c r="K25" s="2"/>
      <c r="L25" s="2"/>
      <c r="N25" s="69"/>
      <c r="O25" s="69"/>
      <c r="P25" s="69"/>
      <c r="Q25" s="69"/>
      <c r="R25" s="69"/>
      <c r="S25" s="69"/>
      <c r="T25" s="69"/>
      <c r="U25" s="69"/>
      <c r="V25" s="69"/>
      <c r="W25" s="69"/>
    </row>
    <row r="26" spans="1:53" x14ac:dyDescent="0.15">
      <c r="A26" s="16" t="s">
        <v>21</v>
      </c>
      <c r="B26" s="17" t="s">
        <v>5</v>
      </c>
      <c r="C26" s="19">
        <f>C25/(C24/60)/4.18</f>
        <v>1.5714857829395277</v>
      </c>
      <c r="D26" s="2"/>
      <c r="E26" s="2"/>
      <c r="F26" s="2"/>
      <c r="G26" s="2"/>
      <c r="H26" s="2"/>
      <c r="K26" s="2"/>
      <c r="L26" s="2"/>
      <c r="N26" s="69"/>
      <c r="O26" s="69"/>
      <c r="P26" s="69"/>
      <c r="Q26" s="69"/>
      <c r="R26" s="69"/>
      <c r="S26" s="69"/>
      <c r="T26" s="69"/>
      <c r="U26" s="69"/>
      <c r="V26" s="69"/>
      <c r="W26" s="69"/>
    </row>
    <row r="27" spans="1:53" x14ac:dyDescent="0.15">
      <c r="B27" s="2"/>
      <c r="C27" s="2"/>
      <c r="D27" s="2"/>
      <c r="E27" s="2"/>
      <c r="F27" s="2"/>
      <c r="G27" s="2"/>
      <c r="H27" s="2"/>
      <c r="K27" s="2"/>
      <c r="L27" s="2"/>
      <c r="N27" s="69"/>
      <c r="O27" s="69"/>
      <c r="P27" s="69"/>
      <c r="Q27" s="69"/>
      <c r="R27" s="69"/>
      <c r="S27" s="69"/>
      <c r="T27" s="69"/>
      <c r="U27" s="69"/>
      <c r="V27" s="69"/>
      <c r="W27" s="69"/>
    </row>
    <row r="28" spans="1:53" x14ac:dyDescent="0.15">
      <c r="B28" s="2"/>
      <c r="C28" s="2"/>
      <c r="D28" s="2"/>
      <c r="E28" s="2"/>
      <c r="F28" s="2"/>
      <c r="G28" s="2"/>
      <c r="H28" s="2"/>
      <c r="K28" s="2"/>
      <c r="L28" s="2"/>
    </row>
    <row r="29" spans="1:53" s="33" customFormat="1" x14ac:dyDescent="0.15">
      <c r="A29" t="s">
        <v>106</v>
      </c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</row>
    <row r="30" spans="1:53" s="125" customFormat="1" x14ac:dyDescent="0.15">
      <c r="A30" s="125" t="s">
        <v>114</v>
      </c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</row>
    <row r="31" spans="1:53" x14ac:dyDescent="0.15">
      <c r="A31" s="60" t="s">
        <v>110</v>
      </c>
      <c r="F31" s="60"/>
      <c r="G31" s="60"/>
      <c r="H31" s="60"/>
      <c r="I31" s="60"/>
      <c r="J31" s="60"/>
      <c r="K31" s="60"/>
      <c r="L31" s="60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1:53" x14ac:dyDescent="0.15">
      <c r="A32" t="s">
        <v>112</v>
      </c>
    </row>
    <row r="33" spans="1:53" x14ac:dyDescent="0.15">
      <c r="A33" t="s">
        <v>113</v>
      </c>
      <c r="F33" s="60"/>
      <c r="G33" s="60"/>
      <c r="H33" s="60"/>
      <c r="I33" s="60"/>
      <c r="J33" s="60"/>
      <c r="K33" s="60"/>
      <c r="L33" s="60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5" spans="1:53" x14ac:dyDescent="0.15">
      <c r="A35" t="s">
        <v>107</v>
      </c>
      <c r="F35" s="60"/>
      <c r="G35" s="60"/>
      <c r="H35" s="60"/>
      <c r="I35" s="60"/>
      <c r="J35" s="60"/>
      <c r="K35" s="60"/>
      <c r="L35" s="60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</sheetData>
  <pageMargins left="0.75" right="0.75" top="1" bottom="1" header="0.5" footer="0.5"/>
  <pageSetup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67D00-9C6C-F740-948B-E70AAE059289}">
  <dimension ref="A1:BA28"/>
  <sheetViews>
    <sheetView showGridLines="0" zoomScale="130" zoomScaleNormal="130" workbookViewId="0">
      <selection activeCell="G19" sqref="G19"/>
    </sheetView>
  </sheetViews>
  <sheetFormatPr baseColWidth="10" defaultColWidth="8.83203125" defaultRowHeight="13" x14ac:dyDescent="0.15"/>
  <cols>
    <col min="1" max="1" width="26.6640625" customWidth="1"/>
    <col min="2" max="12" width="10.1640625" customWidth="1"/>
    <col min="13" max="53" width="8.83203125" style="60"/>
  </cols>
  <sheetData>
    <row r="1" spans="1:53" ht="18" x14ac:dyDescent="0.2">
      <c r="A1" s="20" t="s">
        <v>86</v>
      </c>
    </row>
    <row r="2" spans="1:53" x14ac:dyDescent="0.15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53" ht="56" x14ac:dyDescent="0.15">
      <c r="A3" s="11"/>
      <c r="B3" s="14" t="s">
        <v>3</v>
      </c>
      <c r="C3" s="47" t="s">
        <v>33</v>
      </c>
      <c r="D3" s="14" t="s">
        <v>39</v>
      </c>
      <c r="E3" s="14" t="s">
        <v>40</v>
      </c>
      <c r="F3" s="14" t="s">
        <v>34</v>
      </c>
      <c r="G3" s="14" t="s">
        <v>63</v>
      </c>
      <c r="H3" s="14" t="s">
        <v>111</v>
      </c>
      <c r="I3" s="14" t="s">
        <v>13</v>
      </c>
      <c r="J3" s="15" t="s">
        <v>56</v>
      </c>
      <c r="K3" s="14" t="s">
        <v>57</v>
      </c>
      <c r="L3" s="14" t="s">
        <v>58</v>
      </c>
    </row>
    <row r="4" spans="1:53" x14ac:dyDescent="0.15">
      <c r="A4" s="13" t="s">
        <v>1</v>
      </c>
      <c r="B4" s="4" t="s">
        <v>6</v>
      </c>
      <c r="C4" s="43">
        <v>48.26</v>
      </c>
      <c r="D4" s="5">
        <v>9.5250000000000004</v>
      </c>
      <c r="E4" s="5">
        <v>9.5250000000000004</v>
      </c>
      <c r="F4" s="5">
        <v>8</v>
      </c>
      <c r="G4" s="5">
        <v>8</v>
      </c>
      <c r="H4" s="5">
        <v>8</v>
      </c>
      <c r="I4" s="5">
        <v>12.7</v>
      </c>
      <c r="J4" s="5">
        <v>12.7</v>
      </c>
      <c r="K4" s="5">
        <v>12.7</v>
      </c>
      <c r="L4" s="5">
        <v>12.7</v>
      </c>
      <c r="N4" s="69"/>
      <c r="O4" s="69"/>
      <c r="P4" s="69"/>
      <c r="Q4" s="69"/>
      <c r="R4" s="69"/>
      <c r="S4" s="69"/>
      <c r="T4" s="69"/>
      <c r="U4" s="69"/>
      <c r="V4" s="69"/>
      <c r="W4" s="69"/>
    </row>
    <row r="5" spans="1:53" x14ac:dyDescent="0.15">
      <c r="A5" s="13" t="s">
        <v>2</v>
      </c>
      <c r="B5" s="4" t="s">
        <v>6</v>
      </c>
      <c r="C5" s="43">
        <v>1.65</v>
      </c>
      <c r="D5" s="5">
        <v>0.81279999999999997</v>
      </c>
      <c r="E5" s="5">
        <v>0.81279999999999997</v>
      </c>
      <c r="F5" s="5">
        <v>1</v>
      </c>
      <c r="G5" s="5">
        <v>1</v>
      </c>
      <c r="H5" s="5">
        <v>1</v>
      </c>
      <c r="I5" s="5">
        <v>1.24</v>
      </c>
      <c r="J5" s="5">
        <v>1.24</v>
      </c>
      <c r="K5" s="5">
        <v>1.24</v>
      </c>
      <c r="L5" s="5">
        <v>1.24</v>
      </c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53" x14ac:dyDescent="0.15">
      <c r="A6" s="13" t="s">
        <v>25</v>
      </c>
      <c r="B6" s="4" t="s">
        <v>6</v>
      </c>
      <c r="C6" s="43">
        <f t="shared" ref="C6:J6" si="0">C4-(2*C5)</f>
        <v>44.96</v>
      </c>
      <c r="D6" s="5">
        <f t="shared" si="0"/>
        <v>7.8994</v>
      </c>
      <c r="E6" s="5">
        <f t="shared" si="0"/>
        <v>7.8994</v>
      </c>
      <c r="F6" s="5">
        <f t="shared" si="0"/>
        <v>6</v>
      </c>
      <c r="G6" s="5">
        <f>G4-(2*G5)</f>
        <v>6</v>
      </c>
      <c r="H6" s="5">
        <v>6</v>
      </c>
      <c r="I6" s="5">
        <f t="shared" si="0"/>
        <v>10.219999999999999</v>
      </c>
      <c r="J6" s="5">
        <f t="shared" si="0"/>
        <v>10.219999999999999</v>
      </c>
      <c r="K6" s="5">
        <f>K4-(2*K5)</f>
        <v>10.219999999999999</v>
      </c>
      <c r="L6" s="5">
        <f>L4-(2*L5)</f>
        <v>10.219999999999999</v>
      </c>
      <c r="N6" s="69"/>
      <c r="O6" s="69"/>
      <c r="P6" s="69"/>
      <c r="Q6" s="69"/>
      <c r="R6" s="69"/>
      <c r="S6" s="69"/>
      <c r="T6" s="69"/>
      <c r="U6" s="69"/>
      <c r="V6" s="69"/>
      <c r="W6" s="69"/>
    </row>
    <row r="7" spans="1:53" ht="15" x14ac:dyDescent="0.15">
      <c r="A7" s="13" t="s">
        <v>26</v>
      </c>
      <c r="B7" s="4" t="s">
        <v>11</v>
      </c>
      <c r="C7" s="44">
        <f t="shared" ref="C7:J7" si="1">0.25*3.14*(C6^2)</f>
        <v>1586.8002560000002</v>
      </c>
      <c r="D7" s="6">
        <f t="shared" si="1"/>
        <v>48.984408482600003</v>
      </c>
      <c r="E7" s="6">
        <f t="shared" si="1"/>
        <v>48.984408482600003</v>
      </c>
      <c r="F7" s="6">
        <f t="shared" si="1"/>
        <v>28.26</v>
      </c>
      <c r="G7" s="6">
        <f>0.25*3.14*(G6^2)</f>
        <v>28.26</v>
      </c>
      <c r="H7" s="6">
        <v>28</v>
      </c>
      <c r="I7" s="6">
        <f t="shared" si="1"/>
        <v>81.991993999999991</v>
      </c>
      <c r="J7" s="6">
        <f t="shared" si="1"/>
        <v>81.991993999999991</v>
      </c>
      <c r="K7" s="6">
        <f>0.25*3.14*(K6^2)</f>
        <v>81.991993999999991</v>
      </c>
      <c r="L7" s="6">
        <f>0.25*3.14*(L6^2)</f>
        <v>81.991993999999991</v>
      </c>
      <c r="N7" s="69"/>
      <c r="O7" s="69"/>
      <c r="P7" s="69"/>
      <c r="Q7" s="69"/>
      <c r="R7" s="69"/>
      <c r="S7" s="69"/>
      <c r="T7" s="69"/>
      <c r="U7" s="69"/>
      <c r="V7" s="69"/>
      <c r="W7" s="69"/>
    </row>
    <row r="8" spans="1:53" s="40" customFormat="1" x14ac:dyDescent="0.15">
      <c r="A8" s="13" t="s">
        <v>4</v>
      </c>
      <c r="B8" s="4" t="s">
        <v>7</v>
      </c>
      <c r="C8" s="44">
        <f>SUMPRODUCT(D8:L8,D16:L16)</f>
        <v>227</v>
      </c>
      <c r="D8" s="32">
        <f>'Present YE3'!D8</f>
        <v>2.2999999999999998</v>
      </c>
      <c r="E8" s="32">
        <v>4</v>
      </c>
      <c r="F8" s="32">
        <f>'Present YE3'!F8</f>
        <v>2</v>
      </c>
      <c r="G8" s="32">
        <f>'Present YE3'!G8</f>
        <v>2</v>
      </c>
      <c r="H8" s="32">
        <v>2</v>
      </c>
      <c r="I8" s="32">
        <f>'Present YE3'!H8</f>
        <v>2</v>
      </c>
      <c r="J8" s="32">
        <f>'Present YE3'!I8</f>
        <v>4.7</v>
      </c>
      <c r="K8" s="32">
        <f>'Present YE3'!J8</f>
        <v>4.7</v>
      </c>
      <c r="L8" s="32">
        <f>'Present YE3'!K8</f>
        <v>9.5</v>
      </c>
      <c r="M8" s="60"/>
      <c r="N8" s="69"/>
      <c r="O8" s="69"/>
      <c r="P8" s="69"/>
      <c r="Q8" s="69"/>
      <c r="R8" s="69"/>
      <c r="S8" s="69"/>
      <c r="T8" s="69"/>
      <c r="U8" s="69"/>
      <c r="V8" s="69"/>
      <c r="W8" s="69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</row>
    <row r="9" spans="1:53" x14ac:dyDescent="0.15">
      <c r="A9" s="13" t="s">
        <v>38</v>
      </c>
      <c r="B9" s="4" t="s">
        <v>14</v>
      </c>
      <c r="C9" s="44">
        <f t="shared" ref="C9:J9" si="2">(C8*1000/60)/C7</f>
        <v>2.3842530394281289</v>
      </c>
      <c r="D9" s="5">
        <f t="shared" si="2"/>
        <v>0.78256193186348078</v>
      </c>
      <c r="E9" s="5">
        <f t="shared" si="2"/>
        <v>1.3609772728060536</v>
      </c>
      <c r="F9" s="31">
        <f t="shared" si="2"/>
        <v>1.1795234725171031</v>
      </c>
      <c r="G9" s="31">
        <f>(G8*1000/60)/G7</f>
        <v>1.1795234725171031</v>
      </c>
      <c r="H9" s="31">
        <v>1.2</v>
      </c>
      <c r="I9" s="5">
        <f t="shared" si="2"/>
        <v>0.40654375759337358</v>
      </c>
      <c r="J9" s="5">
        <f t="shared" si="2"/>
        <v>0.95537783034442769</v>
      </c>
      <c r="K9" s="5">
        <f>(K8*1000/60)/K7</f>
        <v>0.95537783034442769</v>
      </c>
      <c r="L9" s="5">
        <f>(L8*1000/60)/L7</f>
        <v>1.9310828485685243</v>
      </c>
      <c r="N9" s="69"/>
      <c r="O9" s="69"/>
      <c r="P9" s="69"/>
      <c r="Q9" s="69"/>
      <c r="R9" s="69"/>
      <c r="S9" s="69"/>
      <c r="T9" s="69"/>
      <c r="U9" s="69"/>
      <c r="V9" s="69"/>
      <c r="W9" s="69"/>
    </row>
    <row r="10" spans="1:53" x14ac:dyDescent="0.15">
      <c r="A10" s="13" t="s">
        <v>42</v>
      </c>
      <c r="B10" s="4" t="s">
        <v>43</v>
      </c>
      <c r="C10" s="44">
        <f t="shared" ref="C10:J10" si="3">(C9*(C6/1000))/(1.035*10^-6)</f>
        <v>103571.03058230791</v>
      </c>
      <c r="D10" s="6">
        <f t="shared" si="3"/>
        <v>5972.7243715578552</v>
      </c>
      <c r="E10" s="6">
        <f t="shared" si="3"/>
        <v>10387.346733144097</v>
      </c>
      <c r="F10" s="30">
        <f t="shared" si="3"/>
        <v>6837.8172319832074</v>
      </c>
      <c r="G10" s="30">
        <f>(G9*(G6/1000))/(1.035*10^-6)</f>
        <v>6837.8172319832074</v>
      </c>
      <c r="H10" s="30">
        <v>6838</v>
      </c>
      <c r="I10" s="6">
        <f t="shared" si="3"/>
        <v>4014.374108796404</v>
      </c>
      <c r="J10" s="6">
        <f t="shared" si="3"/>
        <v>9433.7791556715456</v>
      </c>
      <c r="K10" s="6">
        <f>(K9*(K6/1000))/(1.035*10^-6)</f>
        <v>9433.7791556715456</v>
      </c>
      <c r="L10" s="6">
        <f>(L9*(L6/1000))/(1.035*10^-6)</f>
        <v>19068.277016782915</v>
      </c>
      <c r="N10" s="69"/>
      <c r="O10" s="69"/>
      <c r="P10" s="69"/>
      <c r="Q10" s="69"/>
      <c r="R10" s="69"/>
      <c r="S10" s="69"/>
      <c r="T10" s="69"/>
      <c r="U10" s="69"/>
      <c r="V10" s="69"/>
      <c r="W10" s="69"/>
    </row>
    <row r="11" spans="1:53" s="40" customFormat="1" x14ac:dyDescent="0.15">
      <c r="A11" s="13" t="s">
        <v>72</v>
      </c>
      <c r="B11" s="4" t="s">
        <v>8</v>
      </c>
      <c r="C11" s="44"/>
      <c r="D11" s="30">
        <f>'Present YE3'!D11</f>
        <v>0</v>
      </c>
      <c r="E11" s="30"/>
      <c r="F11" s="30">
        <f>'Present YE3'!F11</f>
        <v>20</v>
      </c>
      <c r="G11" s="30">
        <f>'Present YE3'!G11</f>
        <v>20</v>
      </c>
      <c r="H11" s="30">
        <v>20</v>
      </c>
      <c r="I11" s="30">
        <f>'Present YE3'!H11</f>
        <v>0</v>
      </c>
      <c r="J11" s="30">
        <f>'Present YE3'!I11</f>
        <v>0</v>
      </c>
      <c r="K11" s="30">
        <f>'Present YE3'!J11</f>
        <v>0</v>
      </c>
      <c r="L11" s="30">
        <f>'Present YE3'!K11</f>
        <v>0</v>
      </c>
      <c r="M11" s="60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</row>
    <row r="12" spans="1:53" s="40" customFormat="1" x14ac:dyDescent="0.15">
      <c r="A12" s="13" t="s">
        <v>73</v>
      </c>
      <c r="B12" s="4" t="s">
        <v>84</v>
      </c>
      <c r="C12" s="44"/>
      <c r="D12" s="30">
        <f>'Present YE3'!D12</f>
        <v>0</v>
      </c>
      <c r="E12" s="30"/>
      <c r="F12" s="30">
        <v>5</v>
      </c>
      <c r="G12" s="30">
        <f>'Present YE3'!G12</f>
        <v>4</v>
      </c>
      <c r="H12" s="30">
        <v>2</v>
      </c>
      <c r="I12" s="30">
        <f>'Present YE3'!H12</f>
        <v>0</v>
      </c>
      <c r="J12" s="30">
        <f>'Present YE3'!I12</f>
        <v>0</v>
      </c>
      <c r="K12" s="30">
        <f>'Present YE3'!J12</f>
        <v>0</v>
      </c>
      <c r="L12" s="30">
        <f>'Present YE3'!K12</f>
        <v>0</v>
      </c>
      <c r="M12" s="60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</row>
    <row r="13" spans="1:53" x14ac:dyDescent="0.15">
      <c r="A13" s="13" t="s">
        <v>17</v>
      </c>
      <c r="B13" s="4" t="s">
        <v>8</v>
      </c>
      <c r="C13" s="44">
        <f>C18</f>
        <v>24852</v>
      </c>
      <c r="D13" s="6">
        <v>360</v>
      </c>
      <c r="E13" s="6">
        <v>780</v>
      </c>
      <c r="F13" s="6">
        <f>F12*F11</f>
        <v>100</v>
      </c>
      <c r="G13" s="6">
        <f>G12*G11</f>
        <v>80</v>
      </c>
      <c r="H13" s="6">
        <v>40</v>
      </c>
      <c r="I13" s="6"/>
      <c r="J13" s="6">
        <v>426</v>
      </c>
      <c r="K13" s="6">
        <v>1000</v>
      </c>
      <c r="L13" s="6">
        <v>2516</v>
      </c>
      <c r="N13" s="69"/>
      <c r="O13" s="69"/>
      <c r="P13" s="69"/>
      <c r="Q13" s="69"/>
      <c r="R13" s="69"/>
      <c r="S13" s="69"/>
      <c r="T13" s="69"/>
      <c r="U13" s="69"/>
      <c r="V13" s="69"/>
      <c r="W13" s="69"/>
    </row>
    <row r="14" spans="1:53" x14ac:dyDescent="0.15">
      <c r="A14" s="13" t="s">
        <v>20</v>
      </c>
      <c r="B14" s="4" t="s">
        <v>5</v>
      </c>
      <c r="C14" s="44">
        <f t="shared" ref="C14:J14" si="4">C13/(C8/60)/4180</f>
        <v>1.5714857829395275</v>
      </c>
      <c r="D14" s="5">
        <f t="shared" si="4"/>
        <v>2.2467235281880593</v>
      </c>
      <c r="E14" s="5">
        <f t="shared" si="4"/>
        <v>2.799043062200957</v>
      </c>
      <c r="F14" s="5">
        <f>F13/(F8/60)/4180</f>
        <v>0.71770334928229662</v>
      </c>
      <c r="G14" s="5">
        <f>G13/(G8/60)/4180</f>
        <v>0.57416267942583732</v>
      </c>
      <c r="H14" s="5">
        <v>0.2</v>
      </c>
      <c r="I14" s="5">
        <f t="shared" si="4"/>
        <v>0</v>
      </c>
      <c r="J14" s="5">
        <f t="shared" si="4"/>
        <v>1.3010281991245036</v>
      </c>
      <c r="K14" s="5">
        <f>K13/(K8/60)/4180</f>
        <v>3.0540568054565815</v>
      </c>
      <c r="L14" s="5">
        <f>L13/(L8/60)/4180</f>
        <v>3.8015613195668601</v>
      </c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1:53" x14ac:dyDescent="0.15">
      <c r="A15" s="13"/>
      <c r="B15" s="4"/>
      <c r="C15" s="44"/>
      <c r="D15" s="4"/>
      <c r="E15" s="4"/>
      <c r="F15" s="4"/>
      <c r="G15" s="4"/>
      <c r="H15" s="4"/>
      <c r="I15" s="4"/>
      <c r="J15" s="4"/>
      <c r="K15" s="4"/>
      <c r="L15" s="4"/>
      <c r="N15" s="69"/>
      <c r="O15" s="69"/>
      <c r="P15" s="69"/>
      <c r="Q15" s="69"/>
      <c r="R15" s="69"/>
      <c r="S15" s="69"/>
      <c r="T15" s="69"/>
      <c r="U15" s="69"/>
      <c r="V15" s="69"/>
      <c r="W15" s="69"/>
    </row>
    <row r="16" spans="1:53" s="40" customFormat="1" x14ac:dyDescent="0.15">
      <c r="A16" s="13" t="s">
        <v>9</v>
      </c>
      <c r="B16" s="4" t="s">
        <v>10</v>
      </c>
      <c r="C16" s="44">
        <v>1</v>
      </c>
      <c r="D16" s="30">
        <f>'Present YE3'!D16</f>
        <v>12</v>
      </c>
      <c r="E16" s="30">
        <v>6</v>
      </c>
      <c r="F16" s="30">
        <f>'Present YE3'!F16</f>
        <v>18</v>
      </c>
      <c r="G16" s="30">
        <f>'Present YE3'!G16</f>
        <v>18</v>
      </c>
      <c r="H16" s="30">
        <v>9</v>
      </c>
      <c r="I16" s="30">
        <f>'Present YE3'!H16</f>
        <v>12</v>
      </c>
      <c r="J16" s="30">
        <f>'Present YE3'!I16</f>
        <v>4</v>
      </c>
      <c r="K16" s="30">
        <f>'Present YE3'!J16</f>
        <v>3</v>
      </c>
      <c r="L16" s="30">
        <f>'Present YE3'!K16</f>
        <v>3</v>
      </c>
      <c r="M16" s="60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</row>
    <row r="17" spans="1:23" x14ac:dyDescent="0.15">
      <c r="A17" s="13" t="s">
        <v>19</v>
      </c>
      <c r="B17" s="4" t="s">
        <v>7</v>
      </c>
      <c r="C17" s="44">
        <f>SUM(D17:L17)</f>
        <v>227</v>
      </c>
      <c r="D17" s="4">
        <f>D16*D8</f>
        <v>27.599999999999998</v>
      </c>
      <c r="E17" s="4">
        <f>E16*E8</f>
        <v>24</v>
      </c>
      <c r="F17" s="4">
        <f t="shared" ref="F17:L17" si="5">F16*F8</f>
        <v>36</v>
      </c>
      <c r="G17" s="4">
        <f>G16*G8</f>
        <v>36</v>
      </c>
      <c r="H17" s="4">
        <v>18</v>
      </c>
      <c r="I17" s="4">
        <f t="shared" si="5"/>
        <v>24</v>
      </c>
      <c r="J17" s="4">
        <f t="shared" si="5"/>
        <v>18.8</v>
      </c>
      <c r="K17" s="4">
        <f t="shared" si="5"/>
        <v>14.100000000000001</v>
      </c>
      <c r="L17" s="4">
        <f t="shared" si="5"/>
        <v>28.5</v>
      </c>
      <c r="N17" s="69"/>
      <c r="O17" s="69"/>
      <c r="P17" s="69"/>
      <c r="Q17" s="69"/>
      <c r="R17" s="69"/>
      <c r="S17" s="69"/>
      <c r="T17" s="69"/>
      <c r="U17" s="69"/>
      <c r="V17" s="69"/>
      <c r="W17" s="69"/>
    </row>
    <row r="18" spans="1:23" x14ac:dyDescent="0.15">
      <c r="A18" s="13" t="s">
        <v>22</v>
      </c>
      <c r="B18" s="4" t="s">
        <v>8</v>
      </c>
      <c r="C18" s="44">
        <f>SUM(D18:L18)</f>
        <v>24852</v>
      </c>
      <c r="D18" s="6">
        <f>D16*D13</f>
        <v>4320</v>
      </c>
      <c r="E18" s="6">
        <f>E16*E13</f>
        <v>4680</v>
      </c>
      <c r="F18" s="6">
        <f>F16*F13</f>
        <v>1800</v>
      </c>
      <c r="G18" s="6">
        <f>G16*G13</f>
        <v>1440</v>
      </c>
      <c r="H18" s="6">
        <v>360</v>
      </c>
      <c r="I18" s="6"/>
      <c r="J18" s="6">
        <f>J16*J13</f>
        <v>1704</v>
      </c>
      <c r="K18" s="6">
        <f>K16*K13</f>
        <v>3000</v>
      </c>
      <c r="L18" s="6">
        <f>L16*L13</f>
        <v>7548</v>
      </c>
      <c r="N18" s="69"/>
      <c r="O18" s="69"/>
      <c r="P18" s="69"/>
      <c r="Q18" s="69"/>
      <c r="R18" s="69"/>
      <c r="S18" s="69"/>
      <c r="T18" s="69"/>
      <c r="U18" s="69"/>
      <c r="V18" s="69"/>
      <c r="W18" s="69"/>
    </row>
    <row r="19" spans="1:23" x14ac:dyDescent="0.15">
      <c r="A19" s="13" t="s">
        <v>24</v>
      </c>
      <c r="B19" s="4" t="s">
        <v>8</v>
      </c>
      <c r="C19" s="44"/>
      <c r="D19" s="4"/>
      <c r="E19" s="4"/>
      <c r="F19" s="4"/>
      <c r="G19" s="4"/>
      <c r="H19" s="4"/>
      <c r="I19" s="3">
        <f>I16*I13</f>
        <v>0</v>
      </c>
      <c r="J19" s="3"/>
      <c r="K19" s="4"/>
      <c r="L19" s="4"/>
      <c r="N19" s="69"/>
      <c r="O19" s="69"/>
      <c r="P19" s="69"/>
      <c r="Q19" s="69"/>
      <c r="R19" s="69"/>
      <c r="S19" s="69"/>
      <c r="T19" s="69"/>
      <c r="U19" s="69"/>
      <c r="V19" s="69"/>
      <c r="W19" s="69"/>
    </row>
    <row r="20" spans="1:23" x14ac:dyDescent="0.15">
      <c r="A20" s="13"/>
      <c r="B20" s="4"/>
      <c r="C20" s="44"/>
      <c r="D20" s="4"/>
      <c r="E20" s="4"/>
      <c r="F20" s="4"/>
      <c r="G20" s="4"/>
      <c r="H20" s="4"/>
      <c r="I20" s="3"/>
      <c r="J20" s="3"/>
      <c r="K20" s="4"/>
      <c r="L20" s="4"/>
      <c r="N20" s="69"/>
      <c r="O20" s="69"/>
      <c r="P20" s="69"/>
      <c r="Q20" s="69"/>
      <c r="R20" s="69"/>
      <c r="S20" s="69"/>
      <c r="T20" s="69"/>
      <c r="U20" s="69"/>
      <c r="V20" s="69"/>
      <c r="W20" s="69"/>
    </row>
    <row r="21" spans="1:23" x14ac:dyDescent="0.15">
      <c r="A21" s="13" t="s">
        <v>15</v>
      </c>
      <c r="B21" s="4" t="s">
        <v>0</v>
      </c>
      <c r="C21" s="44"/>
      <c r="D21" s="4"/>
      <c r="E21" s="4"/>
      <c r="F21" s="4"/>
      <c r="G21" s="4"/>
      <c r="H21" s="4"/>
      <c r="I21" s="4"/>
      <c r="J21" s="4"/>
      <c r="K21" s="4"/>
      <c r="L21" s="4"/>
      <c r="N21" s="69"/>
      <c r="O21" s="69"/>
      <c r="P21" s="69"/>
      <c r="Q21" s="69"/>
      <c r="R21" s="69"/>
      <c r="S21" s="69"/>
      <c r="T21" s="69"/>
      <c r="U21" s="69"/>
      <c r="V21" s="69"/>
      <c r="W21" s="69"/>
    </row>
    <row r="22" spans="1:23" x14ac:dyDescent="0.15">
      <c r="A22" s="12"/>
      <c r="B22" s="10"/>
      <c r="C22" s="10"/>
      <c r="D22" s="10"/>
      <c r="E22" s="10"/>
      <c r="F22" s="10"/>
      <c r="G22" s="10"/>
      <c r="H22" s="10"/>
      <c r="I22" s="12"/>
      <c r="J22" s="12"/>
      <c r="K22" s="10"/>
      <c r="L22" s="10"/>
      <c r="N22" s="69"/>
      <c r="O22" s="69"/>
      <c r="P22" s="69"/>
      <c r="Q22" s="69"/>
      <c r="R22" s="69"/>
      <c r="S22" s="69"/>
      <c r="T22" s="69"/>
      <c r="U22" s="69"/>
      <c r="V22" s="69"/>
      <c r="W22" s="69"/>
    </row>
    <row r="23" spans="1:23" x14ac:dyDescent="0.15">
      <c r="A23" s="65" t="s">
        <v>79</v>
      </c>
      <c r="B23" s="10"/>
      <c r="C23" s="10"/>
      <c r="D23" s="10"/>
      <c r="E23" s="10"/>
      <c r="F23" s="10"/>
      <c r="G23" s="10"/>
      <c r="H23" s="10"/>
      <c r="I23" s="12"/>
      <c r="J23" s="12"/>
      <c r="K23" s="10"/>
      <c r="L23" s="10"/>
      <c r="N23" s="69"/>
      <c r="O23" s="69"/>
      <c r="P23" s="69"/>
      <c r="Q23" s="69"/>
      <c r="R23" s="69"/>
      <c r="S23" s="69"/>
      <c r="T23" s="69"/>
      <c r="U23" s="69"/>
      <c r="V23" s="69"/>
      <c r="W23" s="69"/>
    </row>
    <row r="24" spans="1:23" x14ac:dyDescent="0.15">
      <c r="A24" s="16" t="s">
        <v>19</v>
      </c>
      <c r="B24" s="17" t="s">
        <v>7</v>
      </c>
      <c r="C24" s="18">
        <f>C8</f>
        <v>227</v>
      </c>
      <c r="D24" s="2"/>
      <c r="E24" s="2"/>
      <c r="F24" s="2"/>
      <c r="G24" s="2"/>
      <c r="H24" s="2"/>
      <c r="K24" s="2"/>
      <c r="L24" s="2"/>
      <c r="N24" s="69"/>
      <c r="O24" s="69"/>
      <c r="P24" s="69"/>
      <c r="Q24" s="69"/>
      <c r="R24" s="69"/>
      <c r="S24" s="69"/>
      <c r="T24" s="69"/>
      <c r="U24" s="69"/>
      <c r="V24" s="69"/>
      <c r="W24" s="69"/>
    </row>
    <row r="25" spans="1:23" x14ac:dyDescent="0.15">
      <c r="A25" s="16" t="s">
        <v>23</v>
      </c>
      <c r="B25" s="17" t="s">
        <v>98</v>
      </c>
      <c r="C25" s="18">
        <f>C18/1000</f>
        <v>24.852</v>
      </c>
      <c r="D25" s="2"/>
      <c r="E25" s="2"/>
      <c r="F25" s="2"/>
      <c r="G25" s="2"/>
      <c r="H25" s="2"/>
      <c r="K25" s="2"/>
      <c r="L25" s="2"/>
      <c r="N25" s="69"/>
      <c r="O25" s="69"/>
      <c r="P25" s="69"/>
      <c r="Q25" s="69"/>
      <c r="R25" s="69"/>
      <c r="S25" s="69"/>
      <c r="T25" s="69"/>
      <c r="U25" s="69"/>
      <c r="V25" s="69"/>
      <c r="W25" s="69"/>
    </row>
    <row r="26" spans="1:23" x14ac:dyDescent="0.15">
      <c r="A26" s="16" t="s">
        <v>21</v>
      </c>
      <c r="B26" s="17" t="s">
        <v>5</v>
      </c>
      <c r="C26" s="19">
        <f>C25/(C24/60)/4.18</f>
        <v>1.5714857829395277</v>
      </c>
      <c r="D26" s="2"/>
      <c r="E26" s="2"/>
      <c r="F26" s="2"/>
      <c r="G26" s="2"/>
      <c r="H26" s="2"/>
      <c r="K26" s="2"/>
      <c r="L26" s="2"/>
      <c r="N26" s="69"/>
      <c r="O26" s="69"/>
      <c r="P26" s="69"/>
      <c r="Q26" s="69"/>
      <c r="R26" s="69"/>
      <c r="S26" s="69"/>
      <c r="T26" s="69"/>
      <c r="U26" s="69"/>
      <c r="V26" s="69"/>
      <c r="W26" s="69"/>
    </row>
    <row r="27" spans="1:23" x14ac:dyDescent="0.15">
      <c r="B27" s="2"/>
      <c r="C27" s="2"/>
      <c r="D27" s="2"/>
      <c r="E27" s="2"/>
      <c r="F27" s="2"/>
      <c r="G27" s="2"/>
      <c r="H27" s="2"/>
      <c r="K27" s="2"/>
      <c r="L27" s="2"/>
      <c r="N27" s="69"/>
      <c r="O27" s="69"/>
      <c r="P27" s="69"/>
      <c r="Q27" s="69"/>
      <c r="R27" s="69"/>
      <c r="S27" s="69"/>
      <c r="T27" s="69"/>
      <c r="U27" s="69"/>
      <c r="V27" s="69"/>
      <c r="W27" s="69"/>
    </row>
    <row r="28" spans="1:23" x14ac:dyDescent="0.15">
      <c r="B28" s="2"/>
      <c r="C28" s="2"/>
      <c r="D28" s="2"/>
      <c r="E28" s="2"/>
      <c r="F28" s="2"/>
      <c r="G28" s="2"/>
      <c r="H28" s="2"/>
      <c r="K28" s="2"/>
      <c r="L28" s="2"/>
    </row>
  </sheetData>
  <pageMargins left="0.75" right="0.75" top="1" bottom="1" header="0.5" footer="0.5"/>
  <pageSetup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D564B-84C8-DE4B-9161-FE876397EBD3}">
  <dimension ref="A1"/>
  <sheetViews>
    <sheetView workbookViewId="0">
      <selection activeCell="P66" sqref="P66"/>
    </sheetView>
  </sheetViews>
  <sheetFormatPr baseColWidth="10" defaultRowHeight="13" x14ac:dyDescent="0.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showGridLines="0" topLeftCell="A2" zoomScale="108" zoomScaleNormal="120" workbookViewId="0">
      <selection activeCell="E29" sqref="E29"/>
    </sheetView>
  </sheetViews>
  <sheetFormatPr baseColWidth="10" defaultColWidth="8.83203125" defaultRowHeight="13" x14ac:dyDescent="0.15"/>
  <cols>
    <col min="1" max="1" width="32.83203125" customWidth="1"/>
    <col min="3" max="5" width="13.33203125" customWidth="1"/>
    <col min="6" max="6" width="12.33203125" customWidth="1"/>
    <col min="7" max="7" width="11.1640625" customWidth="1"/>
    <col min="8" max="8" width="13.33203125" customWidth="1"/>
    <col min="9" max="9" width="12.33203125" customWidth="1"/>
    <col min="10" max="10" width="13.83203125" customWidth="1"/>
  </cols>
  <sheetData>
    <row r="1" spans="1:9" ht="18" x14ac:dyDescent="0.2">
      <c r="A1" s="21"/>
      <c r="F1" s="21"/>
    </row>
    <row r="2" spans="1:9" s="110" customFormat="1" ht="28" x14ac:dyDescent="0.15">
      <c r="A2" s="110" t="s">
        <v>90</v>
      </c>
      <c r="B2" s="111"/>
      <c r="C2" s="110" t="s">
        <v>99</v>
      </c>
      <c r="D2" s="110" t="s">
        <v>105</v>
      </c>
      <c r="E2" s="110" t="s">
        <v>109</v>
      </c>
      <c r="F2" s="112" t="s">
        <v>102</v>
      </c>
      <c r="G2" s="110" t="s">
        <v>85</v>
      </c>
      <c r="H2" s="110" t="s">
        <v>117</v>
      </c>
      <c r="I2" s="112" t="s">
        <v>103</v>
      </c>
    </row>
    <row r="3" spans="1:9" s="60" customFormat="1" x14ac:dyDescent="0.15">
      <c r="A3" s="16" t="s">
        <v>52</v>
      </c>
      <c r="B3" s="17" t="s">
        <v>7</v>
      </c>
      <c r="C3" s="19">
        <f>2*'Present YE1 '!C24</f>
        <v>672.8</v>
      </c>
      <c r="D3" s="81">
        <f>2*'Upgr YE1 LS2'!C24</f>
        <v>734.8</v>
      </c>
      <c r="E3" s="81">
        <f>D3-C3</f>
        <v>62</v>
      </c>
      <c r="F3" s="117">
        <f>C3</f>
        <v>672.8</v>
      </c>
      <c r="G3" s="121">
        <f>2*'Upgr YE1 LS3'!C24</f>
        <v>594.79999999999995</v>
      </c>
      <c r="H3" s="121">
        <f>G3-C3</f>
        <v>-78</v>
      </c>
      <c r="I3" s="117">
        <f>F3</f>
        <v>672.8</v>
      </c>
    </row>
    <row r="4" spans="1:9" s="60" customFormat="1" x14ac:dyDescent="0.15">
      <c r="A4" s="16"/>
      <c r="B4" s="17" t="s">
        <v>64</v>
      </c>
      <c r="C4" s="19">
        <f>C3*60/1000</f>
        <v>40.368000000000002</v>
      </c>
      <c r="D4" s="19">
        <f>D3*60/1000</f>
        <v>44.088000000000001</v>
      </c>
      <c r="E4" s="81">
        <f>D4-C4</f>
        <v>3.7199999999999989</v>
      </c>
      <c r="F4" s="117">
        <f>F3*60/1000</f>
        <v>40.368000000000002</v>
      </c>
      <c r="G4" s="122">
        <f>G3*60/1000</f>
        <v>35.688000000000002</v>
      </c>
      <c r="H4" s="121"/>
      <c r="I4" s="117">
        <f>I3*60/1000</f>
        <v>40.368000000000002</v>
      </c>
    </row>
    <row r="5" spans="1:9" s="60" customFormat="1" x14ac:dyDescent="0.15">
      <c r="A5" s="16" t="s">
        <v>23</v>
      </c>
      <c r="B5" s="17" t="s">
        <v>98</v>
      </c>
      <c r="C5" s="19">
        <f>2*'Present YE1 '!C25</f>
        <v>66.28</v>
      </c>
      <c r="D5" s="81">
        <f>2*'Upgr YE1 LS2'!C25</f>
        <v>81.56</v>
      </c>
      <c r="E5" s="81">
        <f>D5-C5</f>
        <v>15.280000000000001</v>
      </c>
      <c r="F5" s="118">
        <f>D5</f>
        <v>81.56</v>
      </c>
      <c r="G5" s="121">
        <f>2*'Upgr YE1 LS3'!C25</f>
        <v>69.391999999999996</v>
      </c>
      <c r="H5" s="121">
        <f>G5-D5</f>
        <v>-12.168000000000006</v>
      </c>
      <c r="I5" s="117">
        <f>G5</f>
        <v>69.391999999999996</v>
      </c>
    </row>
    <row r="6" spans="1:9" s="60" customFormat="1" x14ac:dyDescent="0.15">
      <c r="A6" s="16" t="s">
        <v>21</v>
      </c>
      <c r="B6" s="17" t="s">
        <v>5</v>
      </c>
      <c r="C6" s="19">
        <f>C5/(C3/60)/4.18</f>
        <v>1.4140718784313504</v>
      </c>
      <c r="D6" s="19">
        <f>D5/(D3/60)/4.18</f>
        <v>1.5932467383632041</v>
      </c>
      <c r="E6" s="19"/>
      <c r="F6" s="117">
        <f>F5/(F3/60)/4.18</f>
        <v>1.7400679300673045</v>
      </c>
      <c r="G6" s="122">
        <f>G5/(G3/60)/4.18</f>
        <v>1.6746089715331922</v>
      </c>
      <c r="H6" s="122"/>
      <c r="I6" s="117">
        <f>I5/(I3/60)/4.18</f>
        <v>1.4804658386860028</v>
      </c>
    </row>
    <row r="7" spans="1:9" s="60" customFormat="1" ht="18" x14ac:dyDescent="0.2">
      <c r="A7" s="20"/>
      <c r="B7" s="33"/>
      <c r="C7" s="42"/>
      <c r="G7" s="42"/>
    </row>
    <row r="8" spans="1:9" s="124" customFormat="1" ht="28" x14ac:dyDescent="0.15">
      <c r="A8" s="111" t="s">
        <v>91</v>
      </c>
      <c r="B8" s="123"/>
      <c r="C8" s="110" t="s">
        <v>99</v>
      </c>
      <c r="D8" s="110" t="s">
        <v>105</v>
      </c>
      <c r="E8" s="110" t="s">
        <v>109</v>
      </c>
      <c r="F8" s="112" t="s">
        <v>102</v>
      </c>
      <c r="G8" s="110" t="s">
        <v>85</v>
      </c>
      <c r="H8" s="110" t="s">
        <v>108</v>
      </c>
      <c r="I8" s="112" t="s">
        <v>103</v>
      </c>
    </row>
    <row r="9" spans="1:9" s="60" customFormat="1" x14ac:dyDescent="0.15">
      <c r="A9" s="16" t="s">
        <v>19</v>
      </c>
      <c r="B9" s="17" t="s">
        <v>7</v>
      </c>
      <c r="C9" s="19">
        <f>2*'Present YE2 '!C25</f>
        <v>305.60000000000002</v>
      </c>
      <c r="D9" s="81">
        <f>2*'Upgr YE2  LS2 '!C25</f>
        <v>346.4</v>
      </c>
      <c r="E9" s="81">
        <f>D9-C9</f>
        <v>40.799999999999955</v>
      </c>
      <c r="F9" s="117">
        <f>C9</f>
        <v>305.60000000000002</v>
      </c>
      <c r="G9" s="121">
        <f>2*'Upgr YE2  LS3'!C25</f>
        <v>346.4</v>
      </c>
      <c r="H9" s="121">
        <f>G9-C9</f>
        <v>40.799999999999955</v>
      </c>
      <c r="I9" s="117">
        <f>F9</f>
        <v>305.60000000000002</v>
      </c>
    </row>
    <row r="10" spans="1:9" s="60" customFormat="1" x14ac:dyDescent="0.15">
      <c r="A10" s="16"/>
      <c r="B10" s="17" t="s">
        <v>64</v>
      </c>
      <c r="C10" s="19">
        <f>C9*60/1000</f>
        <v>18.335999999999999</v>
      </c>
      <c r="D10" s="19">
        <f t="shared" ref="D10:G10" si="0">D9*60/1000</f>
        <v>20.783999999999999</v>
      </c>
      <c r="E10" s="81">
        <f>D10-C10</f>
        <v>2.4480000000000004</v>
      </c>
      <c r="F10" s="117">
        <f>F9*60/1000</f>
        <v>18.335999999999999</v>
      </c>
      <c r="G10" s="122">
        <f t="shared" si="0"/>
        <v>20.783999999999999</v>
      </c>
      <c r="H10" s="121"/>
      <c r="I10" s="117">
        <f>I9*60/1000</f>
        <v>18.335999999999999</v>
      </c>
    </row>
    <row r="11" spans="1:9" s="60" customFormat="1" x14ac:dyDescent="0.15">
      <c r="A11" s="16" t="s">
        <v>23</v>
      </c>
      <c r="B11" s="17" t="s">
        <v>98</v>
      </c>
      <c r="C11" s="19">
        <f>2*'Present YE2 '!C26</f>
        <v>54.064</v>
      </c>
      <c r="D11" s="81">
        <f>2*'Upgr YE2  LS2 '!C26</f>
        <v>63.472000000000001</v>
      </c>
      <c r="E11" s="81">
        <f>D11-C11</f>
        <v>9.4080000000000013</v>
      </c>
      <c r="F11" s="118">
        <f>D11</f>
        <v>63.472000000000001</v>
      </c>
      <c r="G11" s="121">
        <f>2*'Upgr YE2  LS3'!C26</f>
        <v>63.472000000000001</v>
      </c>
      <c r="H11" s="121">
        <f>G11-C11</f>
        <v>9.4080000000000013</v>
      </c>
      <c r="I11" s="117">
        <f>G11</f>
        <v>63.472000000000001</v>
      </c>
    </row>
    <row r="12" spans="1:9" s="60" customFormat="1" x14ac:dyDescent="0.15">
      <c r="A12" s="16" t="s">
        <v>21</v>
      </c>
      <c r="B12" s="17" t="s">
        <v>5</v>
      </c>
      <c r="C12" s="19">
        <f>C11/(C9/60)/4.18</f>
        <v>2.5393922693454245</v>
      </c>
      <c r="D12" s="19">
        <f>D11/(D9/60)/4.18</f>
        <v>2.6301424356608512</v>
      </c>
      <c r="E12" s="19"/>
      <c r="F12" s="117">
        <f>F11/(F9/60)/4.18</f>
        <v>2.9812871063904405</v>
      </c>
      <c r="G12" s="122">
        <f>G11/(G9/60)/4.18</f>
        <v>2.6301424356608512</v>
      </c>
      <c r="H12" s="122"/>
      <c r="I12" s="117">
        <f>I11/(I9/60)/4.18</f>
        <v>2.9812871063904405</v>
      </c>
    </row>
    <row r="13" spans="1:9" s="60" customFormat="1" ht="18" x14ac:dyDescent="0.2">
      <c r="A13" s="20"/>
      <c r="B13" s="33"/>
      <c r="C13" s="42"/>
      <c r="G13" s="42"/>
    </row>
    <row r="14" spans="1:9" s="124" customFormat="1" ht="28" x14ac:dyDescent="0.15">
      <c r="A14" s="111" t="s">
        <v>92</v>
      </c>
      <c r="C14" s="110" t="s">
        <v>99</v>
      </c>
      <c r="D14" s="110" t="s">
        <v>105</v>
      </c>
      <c r="E14" s="110" t="s">
        <v>109</v>
      </c>
      <c r="F14" s="112" t="s">
        <v>102</v>
      </c>
      <c r="G14" s="110" t="s">
        <v>85</v>
      </c>
      <c r="H14" s="110" t="s">
        <v>108</v>
      </c>
      <c r="I14" s="112" t="s">
        <v>103</v>
      </c>
    </row>
    <row r="15" spans="1:9" s="60" customFormat="1" x14ac:dyDescent="0.15">
      <c r="A15" s="16" t="s">
        <v>19</v>
      </c>
      <c r="B15" s="17" t="s">
        <v>7</v>
      </c>
      <c r="C15" s="19">
        <f>2*'Present YE3'!C24</f>
        <v>397.6</v>
      </c>
      <c r="D15" s="81">
        <f>2*'Upgrade YE3 LS2'!C24</f>
        <v>454</v>
      </c>
      <c r="E15" s="81">
        <f t="shared" ref="E15:E16" si="1">D15-C15</f>
        <v>56.399999999999977</v>
      </c>
      <c r="F15" s="117">
        <f>C15</f>
        <v>397.6</v>
      </c>
      <c r="G15" s="121">
        <f>2*'Upgrade YE3 LS3'!C24</f>
        <v>454</v>
      </c>
      <c r="H15" s="121">
        <f>G15-C15</f>
        <v>56.399999999999977</v>
      </c>
      <c r="I15" s="117">
        <f>F15</f>
        <v>397.6</v>
      </c>
    </row>
    <row r="16" spans="1:9" s="60" customFormat="1" x14ac:dyDescent="0.15">
      <c r="A16" s="16"/>
      <c r="B16" s="17" t="s">
        <v>64</v>
      </c>
      <c r="C16" s="19">
        <f>C15*60/1000</f>
        <v>23.856000000000002</v>
      </c>
      <c r="D16" s="19">
        <f t="shared" ref="D16:F16" si="2">D15*60/1000</f>
        <v>27.24</v>
      </c>
      <c r="E16" s="81">
        <f t="shared" si="1"/>
        <v>3.3839999999999968</v>
      </c>
      <c r="F16" s="117">
        <f t="shared" si="2"/>
        <v>23.856000000000002</v>
      </c>
      <c r="G16" s="122">
        <f>G15*60/1000</f>
        <v>27.24</v>
      </c>
      <c r="H16" s="121"/>
      <c r="I16" s="117">
        <f>I15*60/1000</f>
        <v>23.856000000000002</v>
      </c>
    </row>
    <row r="17" spans="1:10" s="60" customFormat="1" x14ac:dyDescent="0.15">
      <c r="A17" s="16" t="s">
        <v>23</v>
      </c>
      <c r="B17" s="17" t="s">
        <v>98</v>
      </c>
      <c r="C17" s="19">
        <f>2*'Present YE3'!C25</f>
        <v>43.332000000000001</v>
      </c>
      <c r="D17" s="81">
        <f>2*'Upgrade YE3 LS2'!C18/1000</f>
        <v>49.704000000000001</v>
      </c>
      <c r="E17" s="81">
        <f>D17-C17</f>
        <v>6.3719999999999999</v>
      </c>
      <c r="F17" s="118">
        <f>D17</f>
        <v>49.704000000000001</v>
      </c>
      <c r="G17" s="121">
        <f>2*'Upgrade YE3 LS3'!C25</f>
        <v>49.704000000000001</v>
      </c>
      <c r="H17" s="121">
        <f>G17-C17</f>
        <v>6.3719999999999999</v>
      </c>
      <c r="I17" s="117">
        <f>G17</f>
        <v>49.704000000000001</v>
      </c>
    </row>
    <row r="18" spans="1:10" s="60" customFormat="1" x14ac:dyDescent="0.15">
      <c r="A18" s="16" t="s">
        <v>21</v>
      </c>
      <c r="B18" s="17" t="s">
        <v>5</v>
      </c>
      <c r="C18" s="19">
        <f>C17/(C15/60)/4.18</f>
        <v>1.5643622500553562</v>
      </c>
      <c r="D18" s="19">
        <f t="shared" ref="D18" si="3">D17/(D15/60)/4.18</f>
        <v>1.5714857829395277</v>
      </c>
      <c r="E18" s="19"/>
      <c r="F18" s="117">
        <f>F17/(F15/60)/4.18</f>
        <v>1.7944027803182732</v>
      </c>
      <c r="G18" s="122">
        <f>G17/(G15/60)/4.18</f>
        <v>1.5714857829395277</v>
      </c>
      <c r="H18" s="122"/>
      <c r="I18" s="117">
        <f>I17/(I15/60)/4.18</f>
        <v>1.7944027803182732</v>
      </c>
    </row>
    <row r="19" spans="1:10" s="60" customFormat="1" x14ac:dyDescent="0.15">
      <c r="A19" s="35"/>
      <c r="B19" s="41"/>
      <c r="C19" s="42"/>
      <c r="D19" s="42"/>
      <c r="E19" s="42"/>
      <c r="F19" s="42"/>
      <c r="G19" s="42"/>
      <c r="H19" s="42"/>
      <c r="I19" s="42"/>
    </row>
    <row r="20" spans="1:10" s="60" customFormat="1" ht="27" customHeight="1" x14ac:dyDescent="0.2">
      <c r="A20" s="21" t="s">
        <v>93</v>
      </c>
      <c r="B20"/>
      <c r="C20" s="42"/>
      <c r="F20" s="35"/>
      <c r="G20" s="42"/>
      <c r="I20" s="35"/>
    </row>
    <row r="21" spans="1:10" s="60" customFormat="1" ht="28" x14ac:dyDescent="0.2">
      <c r="A21" s="34" t="s">
        <v>71</v>
      </c>
      <c r="B21" s="33"/>
      <c r="C21" s="110" t="s">
        <v>99</v>
      </c>
      <c r="D21" s="110" t="s">
        <v>105</v>
      </c>
      <c r="E21" s="110" t="s">
        <v>109</v>
      </c>
      <c r="F21" s="112" t="s">
        <v>102</v>
      </c>
      <c r="G21" s="110" t="s">
        <v>85</v>
      </c>
      <c r="H21" s="110" t="s">
        <v>108</v>
      </c>
      <c r="I21" s="112" t="s">
        <v>103</v>
      </c>
      <c r="J21" s="127" t="s">
        <v>115</v>
      </c>
    </row>
    <row r="22" spans="1:10" s="60" customFormat="1" x14ac:dyDescent="0.15">
      <c r="A22" s="57" t="s">
        <v>19</v>
      </c>
      <c r="B22" s="58" t="s">
        <v>7</v>
      </c>
      <c r="C22" s="59">
        <f>SUM(C3,C9,C15)</f>
        <v>1376</v>
      </c>
      <c r="D22" s="59">
        <f>SUM(D3,D9,D15)</f>
        <v>1535.1999999999998</v>
      </c>
      <c r="E22" s="59">
        <f t="shared" ref="E22:E23" si="4">D22-C22</f>
        <v>159.19999999999982</v>
      </c>
      <c r="F22" s="117">
        <f>SUM(F3,F9,F15)</f>
        <v>1376</v>
      </c>
      <c r="G22" s="59">
        <f>SUM(G3,G9,G15)</f>
        <v>1395.1999999999998</v>
      </c>
      <c r="H22" s="59">
        <f>G22-C22</f>
        <v>19.199999999999818</v>
      </c>
      <c r="I22" s="117">
        <f>SUM(I3,I9,I15)</f>
        <v>1376</v>
      </c>
      <c r="J22" s="79">
        <f>J23*1000/60</f>
        <v>1266.6666666666667</v>
      </c>
    </row>
    <row r="23" spans="1:10" s="60" customFormat="1" x14ac:dyDescent="0.15">
      <c r="A23" s="57"/>
      <c r="B23" s="58" t="s">
        <v>64</v>
      </c>
      <c r="C23" s="59">
        <f>C22*60/1000</f>
        <v>82.56</v>
      </c>
      <c r="D23" s="59">
        <f t="shared" ref="D23:F23" si="5">D22*60/1000</f>
        <v>92.111999999999981</v>
      </c>
      <c r="E23" s="59">
        <f t="shared" si="4"/>
        <v>9.5519999999999783</v>
      </c>
      <c r="F23" s="117">
        <f t="shared" si="5"/>
        <v>82.56</v>
      </c>
      <c r="G23" s="59">
        <f>G22*60/1000</f>
        <v>83.711999999999989</v>
      </c>
      <c r="H23" s="59">
        <f>H22*60/1000</f>
        <v>1.151999999999989</v>
      </c>
      <c r="I23" s="117">
        <f>I22*60/1000</f>
        <v>82.56</v>
      </c>
      <c r="J23" s="79">
        <v>76</v>
      </c>
    </row>
    <row r="24" spans="1:10" s="60" customFormat="1" x14ac:dyDescent="0.15">
      <c r="A24" s="57" t="s">
        <v>23</v>
      </c>
      <c r="B24" s="58" t="s">
        <v>98</v>
      </c>
      <c r="C24" s="59">
        <f>SUM(C5,C11,C17)</f>
        <v>163.67599999999999</v>
      </c>
      <c r="D24" s="59">
        <f>SUM(D5,D11,D17)</f>
        <v>194.73600000000002</v>
      </c>
      <c r="E24" s="59">
        <f>D24-C24</f>
        <v>31.060000000000031</v>
      </c>
      <c r="F24" s="117">
        <f>SUM(F5,F11,F17)</f>
        <v>194.73600000000002</v>
      </c>
      <c r="G24" s="59">
        <f>SUM(G5,G11,G17)</f>
        <v>182.56800000000001</v>
      </c>
      <c r="H24" s="59">
        <f>G24-C24</f>
        <v>18.892000000000024</v>
      </c>
      <c r="I24" s="117">
        <f>SUM(I5,I11,I17)</f>
        <v>182.56800000000001</v>
      </c>
      <c r="J24" s="79">
        <v>137</v>
      </c>
    </row>
    <row r="25" spans="1:10" s="60" customFormat="1" x14ac:dyDescent="0.15">
      <c r="A25" s="57" t="s">
        <v>21</v>
      </c>
      <c r="B25" s="58" t="s">
        <v>5</v>
      </c>
      <c r="C25" s="59">
        <f>C24/(C22/60)/4.18</f>
        <v>1.7074246133303659</v>
      </c>
      <c r="D25" s="59">
        <f t="shared" ref="D25:G25" si="6">D24/(D22/60)/4.18</f>
        <v>1.8207748752714612</v>
      </c>
      <c r="E25" s="59"/>
      <c r="F25" s="117">
        <f>F24/(F22/60)/4.18</f>
        <v>2.0314342939801939</v>
      </c>
      <c r="G25" s="59">
        <f t="shared" si="6"/>
        <v>1.8782922171985432</v>
      </c>
      <c r="H25" s="59"/>
      <c r="I25" s="117">
        <f>I24/(I22/60)/4.18</f>
        <v>1.9045009458106157</v>
      </c>
      <c r="J25" s="80">
        <f>J24/(J22/60)/4.18</f>
        <v>1.5525056660790735</v>
      </c>
    </row>
    <row r="26" spans="1:10" s="60" customFormat="1" ht="18" x14ac:dyDescent="0.2">
      <c r="A26" s="20"/>
      <c r="B26"/>
      <c r="C26" s="42"/>
      <c r="F26" s="35"/>
      <c r="G26" s="42"/>
      <c r="I26" s="35"/>
    </row>
    <row r="27" spans="1:10" s="60" customFormat="1" x14ac:dyDescent="0.15">
      <c r="A27" s="35" t="s">
        <v>77</v>
      </c>
      <c r="B27" s="33"/>
      <c r="C27" s="88" t="s">
        <v>99</v>
      </c>
      <c r="D27" s="88"/>
      <c r="E27" s="88"/>
      <c r="F27" s="88"/>
      <c r="G27" s="63"/>
      <c r="H27" s="88"/>
      <c r="I27" s="88"/>
    </row>
    <row r="28" spans="1:10" s="60" customFormat="1" x14ac:dyDescent="0.15">
      <c r="A28" s="53" t="s">
        <v>53</v>
      </c>
      <c r="B28" s="54" t="s">
        <v>7</v>
      </c>
      <c r="C28" s="66">
        <f>'Present YE1 '!C29</f>
        <v>182.4</v>
      </c>
      <c r="F28" s="35"/>
      <c r="G28" s="63"/>
    </row>
    <row r="29" spans="1:10" s="60" customFormat="1" x14ac:dyDescent="0.15">
      <c r="A29" s="53" t="s">
        <v>23</v>
      </c>
      <c r="B29" s="54" t="s">
        <v>98</v>
      </c>
      <c r="C29" s="66">
        <f>'Present YE1 '!C30/1000</f>
        <v>28.2</v>
      </c>
      <c r="F29" s="35"/>
      <c r="G29" s="42"/>
    </row>
    <row r="30" spans="1:10" s="60" customFormat="1" x14ac:dyDescent="0.15">
      <c r="A30" s="53" t="s">
        <v>21</v>
      </c>
      <c r="B30" s="54" t="s">
        <v>5</v>
      </c>
      <c r="C30" s="66">
        <f>C29/(C28/60)/4.18</f>
        <v>2.2192143037018384</v>
      </c>
    </row>
    <row r="31" spans="1:10" s="60" customFormat="1" ht="16" x14ac:dyDescent="0.2">
      <c r="A31" s="35"/>
      <c r="B31" s="41"/>
      <c r="C31" s="42"/>
      <c r="F31" s="61"/>
    </row>
    <row r="32" spans="1:10" s="60" customFormat="1" x14ac:dyDescent="0.15">
      <c r="F32" s="35"/>
      <c r="G32" s="64"/>
    </row>
    <row r="33" spans="6:7" s="60" customFormat="1" x14ac:dyDescent="0.15">
      <c r="F33" s="35"/>
      <c r="G33" s="63"/>
    </row>
    <row r="34" spans="6:7" ht="18" x14ac:dyDescent="0.2">
      <c r="F34" s="21"/>
    </row>
  </sheetData>
  <phoneticPr fontId="7" type="noConversion"/>
  <pageMargins left="0.75" right="0.75" top="1" bottom="1" header="0.5" footer="0.5"/>
  <pageSetup orientation="portrait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1"/>
  <sheetViews>
    <sheetView showGridLines="0" tabSelected="1" zoomScale="109" zoomScaleNormal="160" workbookViewId="0">
      <selection activeCell="F23" sqref="F23"/>
    </sheetView>
  </sheetViews>
  <sheetFormatPr baseColWidth="10" defaultColWidth="8.83203125" defaultRowHeight="13" x14ac:dyDescent="0.15"/>
  <cols>
    <col min="1" max="1" width="22.6640625" customWidth="1"/>
    <col min="2" max="2" width="7.6640625" customWidth="1"/>
    <col min="3" max="3" width="8.6640625" customWidth="1"/>
    <col min="4" max="11" width="7.6640625" customWidth="1"/>
    <col min="12" max="13" width="5.6640625" customWidth="1"/>
    <col min="14" max="15" width="7.5" customWidth="1"/>
    <col min="16" max="16" width="8.5" customWidth="1"/>
    <col min="17" max="17" width="2.6640625" customWidth="1"/>
    <col min="18" max="19" width="7.6640625" customWidth="1"/>
    <col min="20" max="20" width="2.6640625" customWidth="1"/>
    <col min="21" max="21" width="8" customWidth="1"/>
    <col min="22" max="22" width="7.6640625" customWidth="1"/>
  </cols>
  <sheetData>
    <row r="1" spans="1:22" ht="18" x14ac:dyDescent="0.2">
      <c r="A1" s="20" t="s">
        <v>27</v>
      </c>
    </row>
    <row r="2" spans="1:22" x14ac:dyDescent="0.15">
      <c r="B2" s="119" t="s">
        <v>65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R2" s="120" t="s">
        <v>66</v>
      </c>
      <c r="S2" s="120"/>
      <c r="T2" s="120"/>
      <c r="U2" s="120"/>
      <c r="V2" s="120"/>
    </row>
    <row r="3" spans="1:22" ht="84" x14ac:dyDescent="0.15">
      <c r="A3" s="11"/>
      <c r="B3" s="14" t="s">
        <v>3</v>
      </c>
      <c r="C3" s="47" t="s">
        <v>74</v>
      </c>
      <c r="D3" s="14" t="s">
        <v>47</v>
      </c>
      <c r="E3" s="14" t="s">
        <v>48</v>
      </c>
      <c r="F3" s="14" t="s">
        <v>30</v>
      </c>
      <c r="G3" s="14" t="s">
        <v>94</v>
      </c>
      <c r="H3" s="14" t="s">
        <v>49</v>
      </c>
      <c r="I3" s="14" t="s">
        <v>50</v>
      </c>
      <c r="J3" s="14" t="s">
        <v>45</v>
      </c>
      <c r="K3" s="14" t="s">
        <v>31</v>
      </c>
      <c r="L3" s="15" t="s">
        <v>62</v>
      </c>
      <c r="M3" s="14" t="s">
        <v>13</v>
      </c>
      <c r="N3" s="14" t="s">
        <v>46</v>
      </c>
      <c r="O3" s="14" t="s">
        <v>51</v>
      </c>
      <c r="P3" s="14" t="s">
        <v>54</v>
      </c>
      <c r="Q3" s="7"/>
      <c r="R3" s="14" t="s">
        <v>28</v>
      </c>
      <c r="S3" s="51" t="s">
        <v>18</v>
      </c>
      <c r="T3" s="7"/>
      <c r="U3" s="14" t="s">
        <v>29</v>
      </c>
      <c r="V3" s="51" t="s">
        <v>18</v>
      </c>
    </row>
    <row r="4" spans="1:22" x14ac:dyDescent="0.15">
      <c r="A4" s="13" t="s">
        <v>1</v>
      </c>
      <c r="B4" s="4" t="s">
        <v>6</v>
      </c>
      <c r="C4" s="43">
        <v>60.32</v>
      </c>
      <c r="D4" s="5">
        <v>9.5</v>
      </c>
      <c r="E4" s="5">
        <v>9.5</v>
      </c>
      <c r="F4" s="5">
        <v>9.5</v>
      </c>
      <c r="G4" s="5">
        <v>8</v>
      </c>
      <c r="H4" s="5">
        <v>8</v>
      </c>
      <c r="I4" s="5">
        <v>8</v>
      </c>
      <c r="J4" s="5">
        <v>8</v>
      </c>
      <c r="K4" s="5">
        <v>8</v>
      </c>
      <c r="L4" s="5">
        <v>12.7</v>
      </c>
      <c r="M4" s="5">
        <v>12.7</v>
      </c>
      <c r="N4" s="5">
        <v>10</v>
      </c>
      <c r="O4" s="5">
        <v>10</v>
      </c>
      <c r="P4" s="5">
        <v>10</v>
      </c>
      <c r="Q4" s="8"/>
      <c r="R4" s="5">
        <v>48.26</v>
      </c>
      <c r="S4" s="5">
        <v>33.700000000000003</v>
      </c>
      <c r="T4" s="8"/>
      <c r="U4" s="5">
        <v>48.26</v>
      </c>
      <c r="V4" s="5">
        <v>33.700000000000003</v>
      </c>
    </row>
    <row r="5" spans="1:22" x14ac:dyDescent="0.15">
      <c r="A5" s="13" t="s">
        <v>2</v>
      </c>
      <c r="B5" s="4" t="s">
        <v>6</v>
      </c>
      <c r="C5" s="43">
        <v>1.65</v>
      </c>
      <c r="D5" s="5">
        <v>0.76</v>
      </c>
      <c r="E5" s="5">
        <v>0.76</v>
      </c>
      <c r="F5" s="5">
        <v>0.76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1.24</v>
      </c>
      <c r="M5" s="5">
        <v>1.24</v>
      </c>
      <c r="N5" s="5">
        <v>1</v>
      </c>
      <c r="O5" s="5">
        <v>1</v>
      </c>
      <c r="P5" s="5">
        <v>1</v>
      </c>
      <c r="Q5" s="8"/>
      <c r="R5" s="5">
        <v>1.65</v>
      </c>
      <c r="S5" s="5">
        <v>3.2</v>
      </c>
      <c r="T5" s="8"/>
      <c r="U5" s="5">
        <v>1.65</v>
      </c>
      <c r="V5" s="5">
        <v>3.2</v>
      </c>
    </row>
    <row r="6" spans="1:22" x14ac:dyDescent="0.15">
      <c r="A6" s="13" t="s">
        <v>25</v>
      </c>
      <c r="B6" s="4" t="s">
        <v>6</v>
      </c>
      <c r="C6" s="43">
        <f t="shared" ref="C6:P6" si="0">C4-(2*C5)</f>
        <v>57.02</v>
      </c>
      <c r="D6" s="5">
        <f t="shared" si="0"/>
        <v>7.98</v>
      </c>
      <c r="E6" s="5">
        <f t="shared" si="0"/>
        <v>7.98</v>
      </c>
      <c r="F6" s="5">
        <f t="shared" si="0"/>
        <v>7.98</v>
      </c>
      <c r="G6" s="5">
        <v>6</v>
      </c>
      <c r="H6" s="5">
        <f t="shared" si="0"/>
        <v>6</v>
      </c>
      <c r="I6" s="5">
        <f t="shared" si="0"/>
        <v>6</v>
      </c>
      <c r="J6" s="5">
        <f t="shared" si="0"/>
        <v>6</v>
      </c>
      <c r="K6" s="5">
        <f t="shared" si="0"/>
        <v>6</v>
      </c>
      <c r="L6" s="5">
        <f t="shared" si="0"/>
        <v>10.219999999999999</v>
      </c>
      <c r="M6" s="5">
        <f t="shared" si="0"/>
        <v>10.219999999999999</v>
      </c>
      <c r="N6" s="5">
        <f t="shared" si="0"/>
        <v>8</v>
      </c>
      <c r="O6" s="5">
        <f t="shared" si="0"/>
        <v>8</v>
      </c>
      <c r="P6" s="5">
        <f t="shared" si="0"/>
        <v>8</v>
      </c>
      <c r="Q6" s="8"/>
      <c r="R6" s="5">
        <f>R4-(2*R5)</f>
        <v>44.96</v>
      </c>
      <c r="S6" s="5">
        <f>S4-(2*S5)</f>
        <v>27.300000000000004</v>
      </c>
      <c r="T6" s="8"/>
      <c r="U6" s="5">
        <f>U4-(2*U5)</f>
        <v>44.96</v>
      </c>
      <c r="V6" s="5">
        <f>V4-(2*V5)</f>
        <v>27.300000000000004</v>
      </c>
    </row>
    <row r="7" spans="1:22" ht="15" x14ac:dyDescent="0.15">
      <c r="A7" s="13" t="s">
        <v>26</v>
      </c>
      <c r="B7" s="4" t="s">
        <v>11</v>
      </c>
      <c r="C7" s="44">
        <f t="shared" ref="C7:P7" si="1">0.25*3.14*(C6^2)</f>
        <v>2552.2551140000005</v>
      </c>
      <c r="D7" s="6">
        <f t="shared" si="1"/>
        <v>49.989114000000008</v>
      </c>
      <c r="E7" s="6">
        <f t="shared" si="1"/>
        <v>49.989114000000008</v>
      </c>
      <c r="F7" s="6">
        <f t="shared" si="1"/>
        <v>49.989114000000008</v>
      </c>
      <c r="G7" s="6">
        <f>0.25*3.14*(G6^2)</f>
        <v>28.26</v>
      </c>
      <c r="H7" s="6">
        <f t="shared" si="1"/>
        <v>28.26</v>
      </c>
      <c r="I7" s="6">
        <f t="shared" si="1"/>
        <v>28.26</v>
      </c>
      <c r="J7" s="6">
        <f t="shared" si="1"/>
        <v>28.26</v>
      </c>
      <c r="K7" s="6">
        <f t="shared" si="1"/>
        <v>28.26</v>
      </c>
      <c r="L7" s="6">
        <f t="shared" si="1"/>
        <v>81.991993999999991</v>
      </c>
      <c r="M7" s="6">
        <f t="shared" si="1"/>
        <v>81.991993999999991</v>
      </c>
      <c r="N7" s="6">
        <f t="shared" si="1"/>
        <v>50.24</v>
      </c>
      <c r="O7" s="6">
        <f t="shared" si="1"/>
        <v>50.24</v>
      </c>
      <c r="P7" s="6">
        <f t="shared" si="1"/>
        <v>50.24</v>
      </c>
      <c r="Q7" s="9"/>
      <c r="R7" s="6">
        <f>0.25*3.14*(R6^2)</f>
        <v>1586.8002560000002</v>
      </c>
      <c r="S7" s="6">
        <f>0.25*3.14*(S6^2)</f>
        <v>585.0526500000002</v>
      </c>
      <c r="T7" s="9"/>
      <c r="U7" s="6">
        <f>0.25*3.14*(U6^2)</f>
        <v>1586.8002560000002</v>
      </c>
      <c r="V7" s="6">
        <f>0.25*3.14*(V6^2)</f>
        <v>585.0526500000002</v>
      </c>
    </row>
    <row r="8" spans="1:22" s="40" customFormat="1" x14ac:dyDescent="0.15">
      <c r="A8" s="13" t="s">
        <v>4</v>
      </c>
      <c r="B8" s="4" t="s">
        <v>7</v>
      </c>
      <c r="C8" s="44">
        <f>SUMPRODUCT(D8:P8,D16:P16)</f>
        <v>336.4</v>
      </c>
      <c r="D8" s="29">
        <v>2.2999999999999998</v>
      </c>
      <c r="E8" s="29">
        <v>2.2999999999999998</v>
      </c>
      <c r="F8" s="29">
        <v>4</v>
      </c>
      <c r="G8" s="5">
        <v>2</v>
      </c>
      <c r="H8" s="29">
        <v>2</v>
      </c>
      <c r="I8" s="29">
        <v>2</v>
      </c>
      <c r="J8" s="29">
        <v>4</v>
      </c>
      <c r="K8" s="29">
        <v>2</v>
      </c>
      <c r="L8" s="29">
        <v>5</v>
      </c>
      <c r="M8" s="29">
        <v>2</v>
      </c>
      <c r="N8" s="29">
        <v>4</v>
      </c>
      <c r="O8" s="29">
        <v>2</v>
      </c>
      <c r="P8" s="29">
        <v>4</v>
      </c>
      <c r="Q8" s="49"/>
      <c r="R8" s="29">
        <f>S8*S16</f>
        <v>91.2</v>
      </c>
      <c r="S8" s="29">
        <v>11.4</v>
      </c>
      <c r="T8" s="49"/>
      <c r="U8" s="29">
        <f>V8*V16</f>
        <v>91.2</v>
      </c>
      <c r="V8" s="29">
        <v>11.4</v>
      </c>
    </row>
    <row r="9" spans="1:22" x14ac:dyDescent="0.15">
      <c r="A9" s="13" t="s">
        <v>38</v>
      </c>
      <c r="B9" s="4" t="s">
        <v>14</v>
      </c>
      <c r="C9" s="44">
        <f t="shared" ref="C9:P9" si="2">(C8*1000/60)/C7</f>
        <v>2.1967500959885102</v>
      </c>
      <c r="D9" s="5">
        <f t="shared" si="2"/>
        <v>0.76683362168277935</v>
      </c>
      <c r="E9" s="5">
        <f t="shared" si="2"/>
        <v>0.76683362168277935</v>
      </c>
      <c r="F9" s="5">
        <f t="shared" si="2"/>
        <v>1.3336236898830947</v>
      </c>
      <c r="G9" s="5">
        <f>(G8*1000/60)/G7</f>
        <v>1.1795234725171031</v>
      </c>
      <c r="H9" s="5">
        <f t="shared" si="2"/>
        <v>1.1795234725171031</v>
      </c>
      <c r="I9" s="5">
        <f t="shared" si="2"/>
        <v>1.1795234725171031</v>
      </c>
      <c r="J9" s="5">
        <f t="shared" si="2"/>
        <v>2.3590469450342062</v>
      </c>
      <c r="K9" s="5">
        <f t="shared" si="2"/>
        <v>1.1795234725171031</v>
      </c>
      <c r="L9" s="5">
        <f t="shared" si="2"/>
        <v>1.0163593939834337</v>
      </c>
      <c r="M9" s="5">
        <f t="shared" si="2"/>
        <v>0.40654375759337358</v>
      </c>
      <c r="N9" s="5">
        <f t="shared" si="2"/>
        <v>1.3269639065817411</v>
      </c>
      <c r="O9" s="5">
        <f t="shared" si="2"/>
        <v>0.66348195329087056</v>
      </c>
      <c r="P9" s="5">
        <f t="shared" si="2"/>
        <v>1.3269639065817411</v>
      </c>
      <c r="Q9" s="8"/>
      <c r="R9" s="5">
        <f>(R8*1000/60)/R7</f>
        <v>0.95790254271297504</v>
      </c>
      <c r="S9" s="5">
        <f>(S8*1000/60)/S7</f>
        <v>0.32475709664762636</v>
      </c>
      <c r="T9" s="8"/>
      <c r="U9" s="5">
        <f>(U8*1000/60)/U7</f>
        <v>0.95790254271297504</v>
      </c>
      <c r="V9" s="5">
        <f>(V8*1000/60)/V7</f>
        <v>0.32475709664762636</v>
      </c>
    </row>
    <row r="10" spans="1:22" x14ac:dyDescent="0.15">
      <c r="A10" s="13" t="s">
        <v>42</v>
      </c>
      <c r="B10" s="4" t="s">
        <v>43</v>
      </c>
      <c r="C10" s="44">
        <f t="shared" ref="C10:P10" si="3">(C9*(C6/1000))/(1.035*10^-6)</f>
        <v>121022.88934614963</v>
      </c>
      <c r="D10" s="6">
        <f t="shared" si="3"/>
        <v>5912.3983584817206</v>
      </c>
      <c r="E10" s="6">
        <f t="shared" si="3"/>
        <v>5912.3983584817206</v>
      </c>
      <c r="F10" s="6">
        <f t="shared" si="3"/>
        <v>10282.4319277943</v>
      </c>
      <c r="G10" s="6">
        <f t="shared" si="3"/>
        <v>6837.8172319832074</v>
      </c>
      <c r="H10" s="6">
        <f t="shared" si="3"/>
        <v>6837.8172319832074</v>
      </c>
      <c r="I10" s="6">
        <f t="shared" si="3"/>
        <v>6837.8172319832074</v>
      </c>
      <c r="J10" s="6">
        <f>(J9*(J6/1000))/(1.035*10^-6)</f>
        <v>13675.634463966415</v>
      </c>
      <c r="K10" s="6">
        <f t="shared" si="3"/>
        <v>6837.8172319832074</v>
      </c>
      <c r="L10" s="6">
        <f t="shared" si="3"/>
        <v>10035.935271991008</v>
      </c>
      <c r="M10" s="6">
        <f t="shared" si="3"/>
        <v>4014.374108796404</v>
      </c>
      <c r="N10" s="6">
        <f t="shared" si="3"/>
        <v>10256.725847974812</v>
      </c>
      <c r="O10" s="6">
        <f t="shared" si="3"/>
        <v>5128.3629239874062</v>
      </c>
      <c r="P10" s="6">
        <f t="shared" si="3"/>
        <v>10256.725847974812</v>
      </c>
      <c r="Q10" s="8"/>
      <c r="R10" s="6">
        <f>(R9*(R6/1000))/(1.035*10^-6)</f>
        <v>41610.916251570401</v>
      </c>
      <c r="S10" s="6">
        <f>(S9*(S6/1000))/(1.035*10^-6)</f>
        <v>8566.0567521547855</v>
      </c>
      <c r="T10" s="8"/>
      <c r="U10" s="6">
        <f>(U9*(U6/1000))/(1.035*10^-6)</f>
        <v>41610.916251570401</v>
      </c>
      <c r="V10" s="6">
        <f>(V9*(V6/1000))/(1.035*10^-6)</f>
        <v>8566.0567521547855</v>
      </c>
    </row>
    <row r="11" spans="1:22" s="40" customFormat="1" x14ac:dyDescent="0.15">
      <c r="A11" s="13" t="s">
        <v>72</v>
      </c>
      <c r="B11" s="4" t="s">
        <v>8</v>
      </c>
      <c r="C11" s="44"/>
      <c r="D11" s="38"/>
      <c r="E11" s="38"/>
      <c r="F11" s="38"/>
      <c r="G11" s="5">
        <v>200</v>
      </c>
      <c r="H11" s="38">
        <v>20</v>
      </c>
      <c r="I11" s="38">
        <v>20</v>
      </c>
      <c r="J11" s="38">
        <v>25</v>
      </c>
      <c r="K11" s="38" t="s">
        <v>75</v>
      </c>
      <c r="L11" s="38"/>
      <c r="M11" s="38"/>
      <c r="N11" s="38"/>
      <c r="O11" s="38"/>
      <c r="P11" s="38"/>
      <c r="Q11" s="50"/>
      <c r="R11" s="38"/>
      <c r="S11" s="38"/>
      <c r="T11" s="50"/>
      <c r="U11" s="38"/>
      <c r="V11" s="38"/>
    </row>
    <row r="12" spans="1:22" s="40" customFormat="1" x14ac:dyDescent="0.15">
      <c r="A12" s="13" t="s">
        <v>73</v>
      </c>
      <c r="B12" s="4" t="s">
        <v>84</v>
      </c>
      <c r="C12" s="44"/>
      <c r="D12" s="38"/>
      <c r="E12" s="38"/>
      <c r="F12" s="38"/>
      <c r="G12" s="5">
        <v>2</v>
      </c>
      <c r="H12" s="38">
        <v>6</v>
      </c>
      <c r="I12" s="38">
        <v>6</v>
      </c>
      <c r="J12" s="38">
        <v>4</v>
      </c>
      <c r="K12" s="38" t="s">
        <v>75</v>
      </c>
      <c r="L12" s="38"/>
      <c r="M12" s="38"/>
      <c r="N12" s="38"/>
      <c r="O12" s="38"/>
      <c r="P12" s="38"/>
      <c r="Q12" s="50"/>
      <c r="R12" s="38"/>
      <c r="S12" s="38"/>
      <c r="T12" s="50"/>
      <c r="U12" s="38"/>
      <c r="V12" s="38"/>
    </row>
    <row r="13" spans="1:22" x14ac:dyDescent="0.15">
      <c r="A13" s="13" t="s">
        <v>17</v>
      </c>
      <c r="B13" s="4" t="s">
        <v>8</v>
      </c>
      <c r="C13" s="44">
        <f>C18</f>
        <v>33140</v>
      </c>
      <c r="D13" s="6">
        <v>344</v>
      </c>
      <c r="E13" s="6">
        <v>420</v>
      </c>
      <c r="F13" s="6">
        <v>540</v>
      </c>
      <c r="G13" s="5">
        <f>G12*G11</f>
        <v>400</v>
      </c>
      <c r="H13" s="6">
        <f>H12*H11</f>
        <v>120</v>
      </c>
      <c r="I13" s="6">
        <f>I12*I11</f>
        <v>120</v>
      </c>
      <c r="J13" s="6">
        <f>J12*J11</f>
        <v>100</v>
      </c>
      <c r="K13" s="6">
        <v>80</v>
      </c>
      <c r="L13" s="6">
        <v>852</v>
      </c>
      <c r="M13" s="6">
        <v>400</v>
      </c>
      <c r="N13" s="6">
        <v>247</v>
      </c>
      <c r="O13" s="6">
        <v>147</v>
      </c>
      <c r="P13" s="6">
        <v>390</v>
      </c>
      <c r="Q13" s="8"/>
      <c r="R13" s="6"/>
      <c r="S13" s="6">
        <v>1775</v>
      </c>
      <c r="T13" s="8"/>
      <c r="U13" s="6">
        <f>U18</f>
        <v>14000</v>
      </c>
      <c r="V13" s="6">
        <v>1750</v>
      </c>
    </row>
    <row r="14" spans="1:22" x14ac:dyDescent="0.15">
      <c r="A14" s="13" t="s">
        <v>20</v>
      </c>
      <c r="B14" s="4" t="s">
        <v>5</v>
      </c>
      <c r="C14" s="44">
        <f>C13/(C8/60)/4180</f>
        <v>1.4140718784313502</v>
      </c>
      <c r="D14" s="5">
        <f t="shared" ref="D14:P14" si="4">D13/(D8/60)/4180</f>
        <v>2.146869149157479</v>
      </c>
      <c r="E14" s="5">
        <f t="shared" si="4"/>
        <v>2.6211774495527358</v>
      </c>
      <c r="F14" s="31">
        <f t="shared" si="4"/>
        <v>1.937799043062201</v>
      </c>
      <c r="G14" s="31">
        <f>G13/(G8/60)/4180</f>
        <v>2.8708133971291865</v>
      </c>
      <c r="H14" s="5">
        <f t="shared" si="4"/>
        <v>0.86124401913875603</v>
      </c>
      <c r="I14" s="5">
        <f t="shared" si="4"/>
        <v>0.86124401913875603</v>
      </c>
      <c r="J14" s="5">
        <f t="shared" si="4"/>
        <v>0.35885167464114831</v>
      </c>
      <c r="K14" s="5">
        <f t="shared" si="4"/>
        <v>0.57416267942583732</v>
      </c>
      <c r="L14" s="5">
        <f t="shared" si="4"/>
        <v>2.445933014354067</v>
      </c>
      <c r="M14" s="5">
        <f t="shared" si="4"/>
        <v>2.8708133971291865</v>
      </c>
      <c r="N14" s="5">
        <f t="shared" si="4"/>
        <v>0.88636363636363635</v>
      </c>
      <c r="O14" s="5">
        <f t="shared" si="4"/>
        <v>1.0550239234449761</v>
      </c>
      <c r="P14" s="5">
        <f t="shared" si="4"/>
        <v>1.3995215311004785</v>
      </c>
      <c r="Q14" s="8"/>
      <c r="R14" s="5">
        <f>R13/(R8/60)/4180</f>
        <v>0</v>
      </c>
      <c r="S14" s="5">
        <f>S13/(S8/60)/4180</f>
        <v>2.2349534122387307</v>
      </c>
      <c r="T14" s="8"/>
      <c r="U14" s="5">
        <f>U13/(U8/60)/4180</f>
        <v>2.2034751951649456</v>
      </c>
      <c r="V14" s="5">
        <f>V13/(V8/60)/4180</f>
        <v>2.2034751951649456</v>
      </c>
    </row>
    <row r="15" spans="1:22" x14ac:dyDescent="0.15">
      <c r="A15" s="13"/>
      <c r="B15" s="4"/>
      <c r="C15" s="44"/>
      <c r="D15" s="4"/>
      <c r="E15" s="4"/>
      <c r="F15" s="32"/>
      <c r="G15" s="32"/>
      <c r="H15" s="4"/>
      <c r="I15" s="4"/>
      <c r="J15" s="4"/>
      <c r="K15" s="4"/>
      <c r="L15" s="26"/>
      <c r="M15" s="4"/>
      <c r="N15" s="4"/>
      <c r="O15" s="4"/>
      <c r="P15" s="4"/>
      <c r="Q15" s="10"/>
      <c r="R15" s="4"/>
      <c r="S15" s="4"/>
      <c r="T15" s="10"/>
      <c r="U15" s="4"/>
      <c r="V15" s="4"/>
    </row>
    <row r="16" spans="1:22" s="40" customFormat="1" x14ac:dyDescent="0.15">
      <c r="A16" s="13" t="s">
        <v>9</v>
      </c>
      <c r="B16" s="4" t="s">
        <v>10</v>
      </c>
      <c r="C16" s="44">
        <v>1</v>
      </c>
      <c r="D16" s="38">
        <v>9</v>
      </c>
      <c r="E16" s="38">
        <v>9</v>
      </c>
      <c r="F16" s="38">
        <v>18</v>
      </c>
      <c r="G16" s="77">
        <v>2.5</v>
      </c>
      <c r="H16" s="38">
        <v>6</v>
      </c>
      <c r="I16" s="38">
        <v>6</v>
      </c>
      <c r="J16" s="38">
        <v>1</v>
      </c>
      <c r="K16" s="38">
        <v>18</v>
      </c>
      <c r="L16" s="38">
        <v>6</v>
      </c>
      <c r="M16" s="38">
        <v>12</v>
      </c>
      <c r="N16" s="38">
        <v>6</v>
      </c>
      <c r="O16" s="38">
        <v>30</v>
      </c>
      <c r="P16" s="38">
        <v>4</v>
      </c>
      <c r="Q16" s="50"/>
      <c r="R16" s="38">
        <v>1</v>
      </c>
      <c r="S16" s="38">
        <v>8</v>
      </c>
      <c r="T16" s="50"/>
      <c r="U16" s="38">
        <v>1</v>
      </c>
      <c r="V16" s="38">
        <v>8</v>
      </c>
    </row>
    <row r="17" spans="1:22" x14ac:dyDescent="0.15">
      <c r="A17" s="13" t="s">
        <v>19</v>
      </c>
      <c r="B17" s="4" t="s">
        <v>59</v>
      </c>
      <c r="C17" s="44">
        <f>SUM(D17:P17)</f>
        <v>337.4</v>
      </c>
      <c r="D17" s="4">
        <f>D16*D8</f>
        <v>20.7</v>
      </c>
      <c r="E17" s="4">
        <f t="shared" ref="E17:V17" si="5">E16*E8</f>
        <v>20.7</v>
      </c>
      <c r="F17" s="32">
        <f t="shared" si="5"/>
        <v>72</v>
      </c>
      <c r="G17" s="32">
        <v>6</v>
      </c>
      <c r="H17" s="4">
        <f t="shared" si="5"/>
        <v>12</v>
      </c>
      <c r="I17" s="4">
        <f t="shared" si="5"/>
        <v>12</v>
      </c>
      <c r="J17" s="4">
        <f t="shared" si="5"/>
        <v>4</v>
      </c>
      <c r="K17" s="4">
        <f t="shared" si="5"/>
        <v>36</v>
      </c>
      <c r="L17" s="28">
        <f t="shared" si="5"/>
        <v>30</v>
      </c>
      <c r="M17" s="4">
        <f t="shared" si="5"/>
        <v>24</v>
      </c>
      <c r="N17" s="4">
        <f t="shared" si="5"/>
        <v>24</v>
      </c>
      <c r="O17" s="4">
        <f t="shared" si="5"/>
        <v>60</v>
      </c>
      <c r="P17" s="4">
        <f t="shared" si="5"/>
        <v>16</v>
      </c>
      <c r="Q17" s="10"/>
      <c r="R17" s="4">
        <f t="shared" si="5"/>
        <v>91.2</v>
      </c>
      <c r="S17" s="4">
        <f t="shared" si="5"/>
        <v>91.2</v>
      </c>
      <c r="T17" s="10"/>
      <c r="U17" s="4">
        <f t="shared" si="5"/>
        <v>91.2</v>
      </c>
      <c r="V17" s="4">
        <f t="shared" si="5"/>
        <v>91.2</v>
      </c>
    </row>
    <row r="18" spans="1:22" x14ac:dyDescent="0.15">
      <c r="A18" s="13" t="s">
        <v>22</v>
      </c>
      <c r="B18" s="4" t="s">
        <v>8</v>
      </c>
      <c r="C18" s="44">
        <f>SUM(D18:P18)</f>
        <v>33140</v>
      </c>
      <c r="D18" s="6">
        <f t="shared" ref="D18:L18" si="6">D16*D13</f>
        <v>3096</v>
      </c>
      <c r="E18" s="6">
        <f t="shared" si="6"/>
        <v>3780</v>
      </c>
      <c r="F18" s="30">
        <f t="shared" si="6"/>
        <v>9720</v>
      </c>
      <c r="G18" s="30">
        <f>G16*G13</f>
        <v>1000</v>
      </c>
      <c r="H18" s="6">
        <f t="shared" si="6"/>
        <v>720</v>
      </c>
      <c r="I18" s="6">
        <f t="shared" si="6"/>
        <v>720</v>
      </c>
      <c r="J18" s="6">
        <f t="shared" si="6"/>
        <v>100</v>
      </c>
      <c r="K18" s="6">
        <f t="shared" si="6"/>
        <v>1440</v>
      </c>
      <c r="L18" s="6">
        <f t="shared" si="6"/>
        <v>5112</v>
      </c>
      <c r="M18" s="6"/>
      <c r="N18" s="6">
        <f>N16*N13</f>
        <v>1482</v>
      </c>
      <c r="O18" s="6">
        <f>O16*O13</f>
        <v>4410</v>
      </c>
      <c r="P18" s="6">
        <f>P16*P13</f>
        <v>1560</v>
      </c>
      <c r="Q18" s="9"/>
      <c r="R18" s="6">
        <f>S18</f>
        <v>14200</v>
      </c>
      <c r="S18" s="6">
        <f>S16*S13</f>
        <v>14200</v>
      </c>
      <c r="T18" s="9"/>
      <c r="U18" s="6">
        <f>V18</f>
        <v>14000</v>
      </c>
      <c r="V18" s="6">
        <f>V16*V13</f>
        <v>14000</v>
      </c>
    </row>
    <row r="19" spans="1:22" x14ac:dyDescent="0.15">
      <c r="A19" s="13" t="s">
        <v>24</v>
      </c>
      <c r="B19" s="4" t="s">
        <v>8</v>
      </c>
      <c r="C19" s="45"/>
      <c r="D19" s="4"/>
      <c r="E19" s="4"/>
      <c r="F19" s="4"/>
      <c r="G19" s="4"/>
      <c r="H19" s="4"/>
      <c r="I19" s="4"/>
      <c r="J19" s="4"/>
      <c r="K19" s="4"/>
      <c r="L19" s="3"/>
      <c r="M19" s="3">
        <f>M16*M13</f>
        <v>4800</v>
      </c>
      <c r="N19" s="3"/>
      <c r="O19" s="3"/>
      <c r="P19" s="3"/>
      <c r="Q19" s="12"/>
      <c r="R19" s="4"/>
      <c r="S19" s="4"/>
      <c r="T19" s="12"/>
      <c r="U19" s="4"/>
      <c r="V19" s="4"/>
    </row>
    <row r="20" spans="1:22" x14ac:dyDescent="0.15">
      <c r="A20" s="13"/>
      <c r="B20" s="4"/>
      <c r="C20" s="45"/>
      <c r="D20" s="4"/>
      <c r="E20" s="4"/>
      <c r="F20" s="4"/>
      <c r="G20" s="4"/>
      <c r="H20" s="4"/>
      <c r="I20" s="4"/>
      <c r="J20" s="4"/>
      <c r="K20" s="4"/>
      <c r="L20" s="3"/>
      <c r="M20" s="3"/>
      <c r="N20" s="3"/>
      <c r="O20" s="3"/>
      <c r="P20" s="3"/>
      <c r="Q20" s="12"/>
      <c r="R20" s="4"/>
      <c r="S20" s="4"/>
      <c r="T20" s="12"/>
      <c r="U20" s="4"/>
      <c r="V20" s="4"/>
    </row>
    <row r="21" spans="1:22" x14ac:dyDescent="0.15">
      <c r="A21" s="13" t="s">
        <v>15</v>
      </c>
      <c r="B21" s="4" t="s">
        <v>0</v>
      </c>
      <c r="C21" s="45"/>
      <c r="D21" s="4"/>
      <c r="E21" s="4"/>
      <c r="F21" s="4"/>
      <c r="G21" s="4"/>
      <c r="H21" s="4"/>
      <c r="I21" s="4"/>
      <c r="J21" s="4" t="s">
        <v>35</v>
      </c>
      <c r="K21" s="4"/>
      <c r="L21" s="4" t="s">
        <v>44</v>
      </c>
      <c r="M21" s="4"/>
      <c r="N21" s="4"/>
      <c r="O21" s="4"/>
      <c r="P21" s="4"/>
      <c r="Q21" s="10"/>
      <c r="R21" s="4"/>
      <c r="S21" s="4"/>
      <c r="T21" s="10"/>
      <c r="U21" s="4"/>
      <c r="V21" s="4"/>
    </row>
    <row r="22" spans="1:22" x14ac:dyDescent="0.15">
      <c r="A22" s="12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2"/>
      <c r="M22" s="12"/>
      <c r="N22" s="12"/>
      <c r="O22" s="12"/>
      <c r="P22" s="12"/>
      <c r="Q22" s="12"/>
      <c r="R22" s="10"/>
      <c r="S22" s="10"/>
      <c r="T22" s="12"/>
      <c r="U22" s="10"/>
      <c r="V22" s="10"/>
    </row>
    <row r="23" spans="1:22" x14ac:dyDescent="0.15">
      <c r="A23" s="35" t="s">
        <v>76</v>
      </c>
      <c r="B23" s="33"/>
      <c r="C23" s="33"/>
    </row>
    <row r="24" spans="1:22" x14ac:dyDescent="0.15">
      <c r="A24" s="16" t="s">
        <v>52</v>
      </c>
      <c r="B24" s="17" t="s">
        <v>7</v>
      </c>
      <c r="C24" s="18">
        <f>C8</f>
        <v>336.4</v>
      </c>
      <c r="D24" s="2"/>
      <c r="E24" s="2"/>
      <c r="F24" s="2"/>
      <c r="G24" s="2"/>
      <c r="H24" s="2"/>
      <c r="I24" s="2"/>
      <c r="J24" s="2"/>
      <c r="K24" s="2"/>
      <c r="R24" s="2"/>
      <c r="S24" s="2"/>
      <c r="U24" s="2"/>
      <c r="V24" s="2"/>
    </row>
    <row r="25" spans="1:22" x14ac:dyDescent="0.15">
      <c r="A25" s="16" t="s">
        <v>23</v>
      </c>
      <c r="B25" s="17" t="s">
        <v>98</v>
      </c>
      <c r="C25" s="18">
        <f>C18/1000</f>
        <v>33.14</v>
      </c>
      <c r="D25" s="2"/>
      <c r="E25" s="2"/>
      <c r="F25" s="2"/>
      <c r="G25" s="2"/>
      <c r="H25" s="2"/>
      <c r="I25" s="2"/>
      <c r="J25" s="2"/>
      <c r="K25" s="2"/>
      <c r="R25" s="2"/>
      <c r="S25" s="2"/>
      <c r="U25" s="2"/>
      <c r="V25" s="2"/>
    </row>
    <row r="26" spans="1:22" x14ac:dyDescent="0.15">
      <c r="A26" s="16" t="s">
        <v>21</v>
      </c>
      <c r="B26" s="17" t="s">
        <v>5</v>
      </c>
      <c r="C26" s="19">
        <f>C25/(C24/60)/4.18</f>
        <v>1.4140718784313504</v>
      </c>
      <c r="D26" s="2"/>
      <c r="E26" s="2"/>
      <c r="F26" s="2"/>
      <c r="G26" s="2"/>
      <c r="H26" s="2"/>
      <c r="I26" s="2"/>
      <c r="J26" s="2"/>
      <c r="K26" s="2"/>
      <c r="R26" s="2"/>
      <c r="S26" s="2"/>
      <c r="U26" s="2"/>
      <c r="V26" s="2"/>
    </row>
    <row r="27" spans="1:22" ht="18" x14ac:dyDescent="0.2">
      <c r="A27" s="20"/>
      <c r="S27" s="2"/>
      <c r="U27" s="2"/>
      <c r="V27" s="2"/>
    </row>
    <row r="28" spans="1:22" x14ac:dyDescent="0.15">
      <c r="A28" s="35" t="s">
        <v>77</v>
      </c>
      <c r="B28" s="33"/>
      <c r="C28" s="33"/>
    </row>
    <row r="29" spans="1:22" x14ac:dyDescent="0.15">
      <c r="A29" s="53" t="s">
        <v>53</v>
      </c>
      <c r="B29" s="54" t="s">
        <v>7</v>
      </c>
      <c r="C29" s="55">
        <f>R8+U8</f>
        <v>182.4</v>
      </c>
      <c r="D29" t="s">
        <v>60</v>
      </c>
      <c r="T29" s="2"/>
      <c r="U29" s="2"/>
    </row>
    <row r="30" spans="1:22" x14ac:dyDescent="0.15">
      <c r="A30" s="53" t="s">
        <v>23</v>
      </c>
      <c r="B30" s="54" t="s">
        <v>8</v>
      </c>
      <c r="C30" s="55">
        <f>R18+U18</f>
        <v>28200</v>
      </c>
      <c r="D30" t="s">
        <v>61</v>
      </c>
    </row>
    <row r="31" spans="1:22" x14ac:dyDescent="0.15">
      <c r="A31" s="53" t="s">
        <v>21</v>
      </c>
      <c r="B31" s="54" t="s">
        <v>5</v>
      </c>
      <c r="C31" s="56">
        <f>C30/(C29/60)/4180</f>
        <v>2.2192143037018379</v>
      </c>
    </row>
  </sheetData>
  <mergeCells count="2">
    <mergeCell ref="B2:P2"/>
    <mergeCell ref="R2:V2"/>
  </mergeCells>
  <phoneticPr fontId="7" type="noConversion"/>
  <pageMargins left="0.75" right="0.75" top="1" bottom="1" header="0.5" footer="0.5"/>
  <pageSetup scale="69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C38"/>
  <sheetViews>
    <sheetView topLeftCell="C2" zoomScale="120" zoomScaleNormal="120" workbookViewId="0">
      <selection activeCell="G19" sqref="G19"/>
    </sheetView>
  </sheetViews>
  <sheetFormatPr baseColWidth="10" defaultColWidth="8.83203125" defaultRowHeight="13" x14ac:dyDescent="0.15"/>
  <cols>
    <col min="1" max="1" width="28.33203125" customWidth="1"/>
    <col min="2" max="2" width="7.6640625" customWidth="1"/>
    <col min="3" max="3" width="8.6640625" customWidth="1"/>
    <col min="4" max="10" width="7.6640625" customWidth="1"/>
    <col min="11" max="12" width="5.6640625" customWidth="1"/>
    <col min="13" max="14" width="7.5" customWidth="1"/>
    <col min="15" max="17" width="8.5" customWidth="1"/>
    <col min="18" max="18" width="8.5" style="89" customWidth="1"/>
    <col min="19" max="19" width="2.6640625" customWidth="1"/>
    <col min="20" max="21" width="7.6640625" customWidth="1"/>
    <col min="22" max="22" width="2.6640625" customWidth="1"/>
    <col min="23" max="23" width="8" customWidth="1"/>
    <col min="24" max="24" width="7.6640625" customWidth="1"/>
  </cols>
  <sheetData>
    <row r="1" spans="1:133" ht="18" x14ac:dyDescent="0.2">
      <c r="A1" s="20" t="s">
        <v>88</v>
      </c>
      <c r="P1" t="s">
        <v>80</v>
      </c>
      <c r="Q1" t="s">
        <v>100</v>
      </c>
      <c r="R1" s="89" t="s">
        <v>85</v>
      </c>
    </row>
    <row r="2" spans="1:133" x14ac:dyDescent="0.15">
      <c r="B2" s="119" t="s">
        <v>65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T2" s="120" t="s">
        <v>66</v>
      </c>
      <c r="U2" s="120"/>
      <c r="V2" s="120"/>
      <c r="W2" s="120"/>
      <c r="X2" s="120"/>
    </row>
    <row r="3" spans="1:133" ht="70" x14ac:dyDescent="0.15">
      <c r="A3" s="11"/>
      <c r="B3" s="14" t="s">
        <v>3</v>
      </c>
      <c r="C3" s="47" t="s">
        <v>74</v>
      </c>
      <c r="D3" s="14" t="s">
        <v>47</v>
      </c>
      <c r="E3" s="14" t="s">
        <v>48</v>
      </c>
      <c r="F3" s="14" t="s">
        <v>30</v>
      </c>
      <c r="G3" s="14" t="s">
        <v>49</v>
      </c>
      <c r="H3" s="14" t="s">
        <v>50</v>
      </c>
      <c r="I3" s="14" t="s">
        <v>45</v>
      </c>
      <c r="J3" s="14" t="s">
        <v>31</v>
      </c>
      <c r="K3" s="15" t="s">
        <v>62</v>
      </c>
      <c r="L3" s="14" t="s">
        <v>13</v>
      </c>
      <c r="M3" s="14" t="s">
        <v>46</v>
      </c>
      <c r="N3" s="14" t="s">
        <v>51</v>
      </c>
      <c r="O3" s="14" t="s">
        <v>54</v>
      </c>
      <c r="P3" s="70" t="s">
        <v>81</v>
      </c>
      <c r="Q3" s="72" t="s">
        <v>82</v>
      </c>
      <c r="R3" s="90" t="s">
        <v>83</v>
      </c>
      <c r="S3" s="7"/>
      <c r="T3" s="14" t="s">
        <v>28</v>
      </c>
      <c r="U3" s="51" t="s">
        <v>18</v>
      </c>
      <c r="V3" s="7"/>
      <c r="W3" s="14" t="s">
        <v>29</v>
      </c>
      <c r="X3" s="51" t="s">
        <v>18</v>
      </c>
    </row>
    <row r="4" spans="1:133" x14ac:dyDescent="0.15">
      <c r="A4" s="13" t="s">
        <v>1</v>
      </c>
      <c r="B4" s="4" t="s">
        <v>6</v>
      </c>
      <c r="C4" s="43">
        <v>60.32</v>
      </c>
      <c r="D4" s="5">
        <v>9.5</v>
      </c>
      <c r="E4" s="5">
        <v>9.5</v>
      </c>
      <c r="F4" s="5">
        <v>9.5</v>
      </c>
      <c r="G4" s="5">
        <v>8</v>
      </c>
      <c r="H4" s="5">
        <v>8</v>
      </c>
      <c r="I4" s="5">
        <v>8</v>
      </c>
      <c r="J4" s="5">
        <v>8</v>
      </c>
      <c r="K4" s="5">
        <v>12.7</v>
      </c>
      <c r="L4" s="5">
        <v>12.7</v>
      </c>
      <c r="M4" s="5">
        <v>10</v>
      </c>
      <c r="N4" s="5">
        <v>10</v>
      </c>
      <c r="O4" s="5">
        <v>10</v>
      </c>
      <c r="P4" s="82">
        <v>8</v>
      </c>
      <c r="Q4" s="83">
        <v>8</v>
      </c>
      <c r="R4" s="91">
        <v>10</v>
      </c>
      <c r="S4" s="8"/>
      <c r="T4" s="5">
        <v>48.26</v>
      </c>
      <c r="U4" s="5">
        <v>33.700000000000003</v>
      </c>
      <c r="V4" s="8"/>
      <c r="W4" s="5">
        <v>48.26</v>
      </c>
      <c r="X4" s="5">
        <v>33.700000000000003</v>
      </c>
    </row>
    <row r="5" spans="1:133" x14ac:dyDescent="0.15">
      <c r="A5" s="13" t="s">
        <v>2</v>
      </c>
      <c r="B5" s="4" t="s">
        <v>6</v>
      </c>
      <c r="C5" s="43">
        <v>1.65</v>
      </c>
      <c r="D5" s="5">
        <v>0.76</v>
      </c>
      <c r="E5" s="5">
        <v>0.76</v>
      </c>
      <c r="F5" s="5">
        <v>0.76</v>
      </c>
      <c r="G5" s="5">
        <v>1</v>
      </c>
      <c r="H5" s="5">
        <v>1</v>
      </c>
      <c r="I5" s="5">
        <v>1</v>
      </c>
      <c r="J5" s="5">
        <v>1</v>
      </c>
      <c r="K5" s="5">
        <v>1.24</v>
      </c>
      <c r="L5" s="5">
        <v>1.24</v>
      </c>
      <c r="M5" s="5">
        <v>1</v>
      </c>
      <c r="N5" s="5">
        <v>1</v>
      </c>
      <c r="O5" s="5">
        <v>1</v>
      </c>
      <c r="P5" s="82">
        <v>1</v>
      </c>
      <c r="Q5" s="83">
        <v>1</v>
      </c>
      <c r="R5" s="91">
        <v>1</v>
      </c>
      <c r="S5" s="8"/>
      <c r="T5" s="5">
        <v>1.65</v>
      </c>
      <c r="U5" s="5">
        <v>3.2</v>
      </c>
      <c r="V5" s="8"/>
      <c r="W5" s="5">
        <v>1.65</v>
      </c>
      <c r="X5" s="5">
        <v>3.2</v>
      </c>
    </row>
    <row r="6" spans="1:133" x14ac:dyDescent="0.15">
      <c r="A6" s="13" t="s">
        <v>25</v>
      </c>
      <c r="B6" s="4" t="s">
        <v>6</v>
      </c>
      <c r="C6" s="43">
        <f t="shared" ref="C6:O6" si="0">C4-(2*C5)</f>
        <v>57.02</v>
      </c>
      <c r="D6" s="5">
        <f t="shared" si="0"/>
        <v>7.98</v>
      </c>
      <c r="E6" s="5">
        <f t="shared" si="0"/>
        <v>7.98</v>
      </c>
      <c r="F6" s="5">
        <f t="shared" si="0"/>
        <v>7.98</v>
      </c>
      <c r="G6" s="5">
        <f t="shared" si="0"/>
        <v>6</v>
      </c>
      <c r="H6" s="5">
        <f t="shared" si="0"/>
        <v>6</v>
      </c>
      <c r="I6" s="5">
        <f t="shared" si="0"/>
        <v>6</v>
      </c>
      <c r="J6" s="5">
        <f t="shared" si="0"/>
        <v>6</v>
      </c>
      <c r="K6" s="5">
        <f t="shared" si="0"/>
        <v>10.219999999999999</v>
      </c>
      <c r="L6" s="5">
        <f t="shared" si="0"/>
        <v>10.219999999999999</v>
      </c>
      <c r="M6" s="5">
        <f t="shared" si="0"/>
        <v>8</v>
      </c>
      <c r="N6" s="5">
        <f t="shared" si="0"/>
        <v>8</v>
      </c>
      <c r="O6" s="5">
        <f t="shared" si="0"/>
        <v>8</v>
      </c>
      <c r="P6" s="82">
        <v>6</v>
      </c>
      <c r="Q6" s="83">
        <v>6</v>
      </c>
      <c r="R6" s="91">
        <f>R4-2*R5</f>
        <v>8</v>
      </c>
      <c r="S6" s="73"/>
      <c r="T6" s="31">
        <f>T4-(2*T5)</f>
        <v>44.96</v>
      </c>
      <c r="U6" s="31">
        <f>U4-(2*U5)</f>
        <v>27.300000000000004</v>
      </c>
      <c r="V6" s="73"/>
      <c r="W6" s="31">
        <f>W4-(2*W5)</f>
        <v>44.96</v>
      </c>
      <c r="X6" s="31">
        <f>X4-(2*X5)</f>
        <v>27.300000000000004</v>
      </c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</row>
    <row r="7" spans="1:133" ht="15" x14ac:dyDescent="0.15">
      <c r="A7" s="13" t="s">
        <v>26</v>
      </c>
      <c r="B7" s="4" t="s">
        <v>11</v>
      </c>
      <c r="C7" s="44">
        <f t="shared" ref="C7:R7" si="1">0.25*3.14*(C6^2)</f>
        <v>2552.2551140000005</v>
      </c>
      <c r="D7" s="6">
        <f t="shared" si="1"/>
        <v>49.989114000000008</v>
      </c>
      <c r="E7" s="6">
        <f t="shared" si="1"/>
        <v>49.989114000000008</v>
      </c>
      <c r="F7" s="6">
        <f t="shared" si="1"/>
        <v>49.989114000000008</v>
      </c>
      <c r="G7" s="6">
        <f t="shared" si="1"/>
        <v>28.26</v>
      </c>
      <c r="H7" s="6">
        <f t="shared" si="1"/>
        <v>28.26</v>
      </c>
      <c r="I7" s="6">
        <f t="shared" si="1"/>
        <v>28.26</v>
      </c>
      <c r="J7" s="6">
        <f t="shared" si="1"/>
        <v>28.26</v>
      </c>
      <c r="K7" s="6">
        <f t="shared" si="1"/>
        <v>81.991993999999991</v>
      </c>
      <c r="L7" s="6">
        <f t="shared" si="1"/>
        <v>81.991993999999991</v>
      </c>
      <c r="M7" s="6">
        <f t="shared" si="1"/>
        <v>50.24</v>
      </c>
      <c r="N7" s="6">
        <f t="shared" si="1"/>
        <v>50.24</v>
      </c>
      <c r="O7" s="6">
        <f t="shared" si="1"/>
        <v>50.24</v>
      </c>
      <c r="P7" s="30">
        <f t="shared" si="1"/>
        <v>28.26</v>
      </c>
      <c r="Q7" s="30">
        <f t="shared" si="1"/>
        <v>28.26</v>
      </c>
      <c r="R7" s="92">
        <f t="shared" si="1"/>
        <v>50.24</v>
      </c>
      <c r="S7" s="74"/>
      <c r="T7" s="30">
        <f>0.25*3.14*(T6^2)</f>
        <v>1586.8002560000002</v>
      </c>
      <c r="U7" s="30">
        <f>0.25*3.14*(U6^2)</f>
        <v>585.0526500000002</v>
      </c>
      <c r="V7" s="74"/>
      <c r="W7" s="30">
        <f>0.25*3.14*(W6^2)</f>
        <v>1586.8002560000002</v>
      </c>
      <c r="X7" s="30">
        <f>0.25*3.14*(X6^2)</f>
        <v>585.0526500000002</v>
      </c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</row>
    <row r="8" spans="1:133" s="40" customFormat="1" x14ac:dyDescent="0.15">
      <c r="A8" s="13" t="s">
        <v>4</v>
      </c>
      <c r="B8" s="4" t="s">
        <v>7</v>
      </c>
      <c r="C8" s="44">
        <f>SUMPRODUCT(D8:Q8,D16:Q16)</f>
        <v>367.4</v>
      </c>
      <c r="D8" s="32">
        <f>'Present YE1 '!D8</f>
        <v>2.2999999999999998</v>
      </c>
      <c r="E8" s="32">
        <f>'Present YE1 '!E8</f>
        <v>2.2999999999999998</v>
      </c>
      <c r="F8" s="32">
        <f>'Present YE1 '!F8</f>
        <v>4</v>
      </c>
      <c r="G8" s="32">
        <f>'Present YE1 '!H8</f>
        <v>2</v>
      </c>
      <c r="H8" s="32">
        <f>'Present YE1 '!I8</f>
        <v>2</v>
      </c>
      <c r="I8" s="32">
        <f>'Present YE1 '!J8</f>
        <v>4</v>
      </c>
      <c r="J8" s="32">
        <f>'Present YE1 '!K8</f>
        <v>2</v>
      </c>
      <c r="K8" s="32">
        <f>'Present YE1 '!L8</f>
        <v>5</v>
      </c>
      <c r="L8" s="32">
        <f>'Present YE1 '!M8</f>
        <v>2</v>
      </c>
      <c r="M8" s="32">
        <f>'Present YE1 '!N8</f>
        <v>4</v>
      </c>
      <c r="N8" s="32">
        <f>'Present YE1 '!O8</f>
        <v>2</v>
      </c>
      <c r="O8" s="32">
        <f>'Present YE1 '!P8</f>
        <v>4</v>
      </c>
      <c r="P8" s="76">
        <v>2</v>
      </c>
      <c r="Q8" s="76">
        <v>4</v>
      </c>
      <c r="R8" s="93">
        <v>4</v>
      </c>
      <c r="S8" s="75"/>
      <c r="T8" s="32">
        <f>U8*U16</f>
        <v>91.2</v>
      </c>
      <c r="U8" s="32">
        <v>11.4</v>
      </c>
      <c r="V8" s="75"/>
      <c r="W8" s="32">
        <f>X8*X16</f>
        <v>91.2</v>
      </c>
      <c r="X8" s="32">
        <v>11.4</v>
      </c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</row>
    <row r="9" spans="1:133" x14ac:dyDescent="0.15">
      <c r="A9" s="13" t="s">
        <v>38</v>
      </c>
      <c r="B9" s="4" t="s">
        <v>14</v>
      </c>
      <c r="C9" s="44">
        <f t="shared" ref="C9:R9" si="2">(C8*1000/60)/C7</f>
        <v>2.3991854496616485</v>
      </c>
      <c r="D9" s="5">
        <f t="shared" si="2"/>
        <v>0.76683362168277935</v>
      </c>
      <c r="E9" s="5">
        <f t="shared" si="2"/>
        <v>0.76683362168277935</v>
      </c>
      <c r="F9" s="5">
        <f t="shared" si="2"/>
        <v>1.3336236898830947</v>
      </c>
      <c r="G9" s="5">
        <f t="shared" si="2"/>
        <v>1.1795234725171031</v>
      </c>
      <c r="H9" s="5">
        <f t="shared" si="2"/>
        <v>1.1795234725171031</v>
      </c>
      <c r="I9" s="5">
        <f t="shared" si="2"/>
        <v>2.3590469450342062</v>
      </c>
      <c r="J9" s="5">
        <f t="shared" si="2"/>
        <v>1.1795234725171031</v>
      </c>
      <c r="K9" s="5">
        <f t="shared" si="2"/>
        <v>1.0163593939834337</v>
      </c>
      <c r="L9" s="5">
        <f t="shared" si="2"/>
        <v>0.40654375759337358</v>
      </c>
      <c r="M9" s="5">
        <f t="shared" si="2"/>
        <v>1.3269639065817411</v>
      </c>
      <c r="N9" s="5">
        <f t="shared" si="2"/>
        <v>0.66348195329087056</v>
      </c>
      <c r="O9" s="5">
        <f t="shared" si="2"/>
        <v>1.3269639065817411</v>
      </c>
      <c r="P9" s="31">
        <f t="shared" si="2"/>
        <v>1.1795234725171031</v>
      </c>
      <c r="Q9" s="31">
        <f t="shared" si="2"/>
        <v>2.3590469450342062</v>
      </c>
      <c r="R9" s="94">
        <f t="shared" si="2"/>
        <v>1.3269639065817411</v>
      </c>
      <c r="S9" s="73"/>
      <c r="T9" s="31">
        <f>(T8*1000/60)/T7</f>
        <v>0.95790254271297504</v>
      </c>
      <c r="U9" s="31">
        <f>(U8*1000/60)/U7</f>
        <v>0.32475709664762636</v>
      </c>
      <c r="V9" s="73"/>
      <c r="W9" s="31">
        <f>(W8*1000/60)/W7</f>
        <v>0.95790254271297504</v>
      </c>
      <c r="X9" s="31">
        <f>(X8*1000/60)/X7</f>
        <v>0.32475709664762636</v>
      </c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</row>
    <row r="10" spans="1:133" x14ac:dyDescent="0.15">
      <c r="A10" s="13" t="s">
        <v>42</v>
      </c>
      <c r="B10" s="4" t="s">
        <v>43</v>
      </c>
      <c r="C10" s="44">
        <f t="shared" ref="C10:R10" si="3">(C9*(C6/1000))/(1.035*10^-6)</f>
        <v>132175.41482097315</v>
      </c>
      <c r="D10" s="6">
        <f t="shared" si="3"/>
        <v>5912.3983584817206</v>
      </c>
      <c r="E10" s="6">
        <f t="shared" si="3"/>
        <v>5912.3983584817206</v>
      </c>
      <c r="F10" s="6">
        <f t="shared" si="3"/>
        <v>10282.4319277943</v>
      </c>
      <c r="G10" s="6">
        <f t="shared" si="3"/>
        <v>6837.8172319832074</v>
      </c>
      <c r="H10" s="6">
        <f t="shared" si="3"/>
        <v>6837.8172319832074</v>
      </c>
      <c r="I10" s="6">
        <f t="shared" si="3"/>
        <v>13675.634463966415</v>
      </c>
      <c r="J10" s="6">
        <f t="shared" si="3"/>
        <v>6837.8172319832074</v>
      </c>
      <c r="K10" s="6">
        <f t="shared" si="3"/>
        <v>10035.935271991008</v>
      </c>
      <c r="L10" s="6">
        <f t="shared" si="3"/>
        <v>4014.374108796404</v>
      </c>
      <c r="M10" s="6">
        <f t="shared" si="3"/>
        <v>10256.725847974812</v>
      </c>
      <c r="N10" s="6">
        <f t="shared" si="3"/>
        <v>5128.3629239874062</v>
      </c>
      <c r="O10" s="6">
        <f t="shared" si="3"/>
        <v>10256.725847974812</v>
      </c>
      <c r="P10" s="30">
        <f t="shared" si="3"/>
        <v>6837.8172319832074</v>
      </c>
      <c r="Q10" s="30">
        <f t="shared" si="3"/>
        <v>13675.634463966415</v>
      </c>
      <c r="R10" s="92">
        <f t="shared" si="3"/>
        <v>10256.725847974812</v>
      </c>
      <c r="S10" s="73"/>
      <c r="T10" s="30">
        <f>(T9*(T6/1000))/(1.035*10^-6)</f>
        <v>41610.916251570401</v>
      </c>
      <c r="U10" s="30">
        <f>(U9*(U6/1000))/(1.035*10^-6)</f>
        <v>8566.0567521547855</v>
      </c>
      <c r="V10" s="73"/>
      <c r="W10" s="30">
        <f>(W9*(W6/1000))/(1.035*10^-6)</f>
        <v>41610.916251570401</v>
      </c>
      <c r="X10" s="30">
        <f>(X9*(X6/1000))/(1.035*10^-6)</f>
        <v>8566.0567521547855</v>
      </c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</row>
    <row r="11" spans="1:133" s="40" customFormat="1" x14ac:dyDescent="0.15">
      <c r="A11" s="13" t="s">
        <v>95</v>
      </c>
      <c r="B11" s="4" t="s">
        <v>8</v>
      </c>
      <c r="C11" s="44"/>
      <c r="D11" s="30">
        <f>'Present YE1 '!D11</f>
        <v>0</v>
      </c>
      <c r="E11" s="30">
        <f>'Present YE1 '!E11</f>
        <v>0</v>
      </c>
      <c r="F11" s="30">
        <f>'Present YE1 '!F11</f>
        <v>0</v>
      </c>
      <c r="G11" s="30">
        <f>'Present YE1 '!H11</f>
        <v>20</v>
      </c>
      <c r="H11" s="30">
        <f>'Present YE1 '!I11</f>
        <v>20</v>
      </c>
      <c r="I11" s="30">
        <f>'Present YE1 '!J11</f>
        <v>25</v>
      </c>
      <c r="J11" s="30" t="str">
        <f>'Present YE1 '!K11</f>
        <v>?</v>
      </c>
      <c r="K11" s="30">
        <f>'Present YE1 '!L11</f>
        <v>0</v>
      </c>
      <c r="L11" s="30">
        <f>'Present YE1 '!M11</f>
        <v>0</v>
      </c>
      <c r="M11" s="30">
        <f>'Present YE1 '!N11</f>
        <v>0</v>
      </c>
      <c r="N11" s="30">
        <f>'Present YE1 '!O11</f>
        <v>0</v>
      </c>
      <c r="O11" s="30">
        <f>'Present YE1 '!P11</f>
        <v>0</v>
      </c>
      <c r="P11" s="85">
        <v>40</v>
      </c>
      <c r="Q11" s="86">
        <v>160</v>
      </c>
      <c r="R11" s="95">
        <v>60</v>
      </c>
      <c r="S11" s="73"/>
      <c r="T11" s="30"/>
      <c r="U11" s="30"/>
      <c r="V11" s="73"/>
      <c r="W11" s="30"/>
      <c r="X11" s="30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</row>
    <row r="12" spans="1:133" s="40" customFormat="1" x14ac:dyDescent="0.15">
      <c r="A12" s="13" t="s">
        <v>73</v>
      </c>
      <c r="B12" s="4"/>
      <c r="C12" s="44"/>
      <c r="D12" s="30">
        <f>'Present YE1 '!D12</f>
        <v>0</v>
      </c>
      <c r="E12" s="30">
        <f>'Present YE1 '!E12</f>
        <v>0</v>
      </c>
      <c r="F12" s="30">
        <f>'Present YE1 '!F12</f>
        <v>0</v>
      </c>
      <c r="G12" s="30">
        <f>'Present YE1 '!H12</f>
        <v>6</v>
      </c>
      <c r="H12" s="30">
        <f>'Present YE1 '!I12</f>
        <v>6</v>
      </c>
      <c r="I12" s="30">
        <f>'Present YE1 '!J12</f>
        <v>4</v>
      </c>
      <c r="J12" s="30" t="str">
        <f>'Present YE1 '!K12</f>
        <v>?</v>
      </c>
      <c r="K12" s="30">
        <f>'Present YE1 '!L12</f>
        <v>0</v>
      </c>
      <c r="L12" s="30">
        <f>'Present YE1 '!M12</f>
        <v>0</v>
      </c>
      <c r="M12" s="30">
        <f>'Present YE1 '!N12</f>
        <v>0</v>
      </c>
      <c r="N12" s="30">
        <f>'Present YE1 '!O12</f>
        <v>0</v>
      </c>
      <c r="O12" s="30">
        <f>'Present YE1 '!P12</f>
        <v>0</v>
      </c>
      <c r="P12" s="85">
        <v>12</v>
      </c>
      <c r="Q12" s="86">
        <v>6</v>
      </c>
      <c r="R12" s="95">
        <v>6</v>
      </c>
      <c r="S12" s="73"/>
      <c r="T12" s="30"/>
      <c r="U12" s="30"/>
      <c r="V12" s="73"/>
      <c r="W12" s="30"/>
      <c r="X12" s="30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</row>
    <row r="13" spans="1:133" x14ac:dyDescent="0.15">
      <c r="A13" s="13" t="s">
        <v>17</v>
      </c>
      <c r="B13" s="4" t="s">
        <v>8</v>
      </c>
      <c r="C13" s="44">
        <f>C18</f>
        <v>40780</v>
      </c>
      <c r="D13" s="6">
        <v>344</v>
      </c>
      <c r="E13" s="6">
        <v>420</v>
      </c>
      <c r="F13" s="6">
        <v>540</v>
      </c>
      <c r="G13" s="6">
        <f>G12*G11</f>
        <v>120</v>
      </c>
      <c r="H13" s="6">
        <f>H12*H11</f>
        <v>120</v>
      </c>
      <c r="I13" s="6">
        <f>I12*I11</f>
        <v>100</v>
      </c>
      <c r="J13" s="6">
        <v>80</v>
      </c>
      <c r="K13" s="6">
        <v>852</v>
      </c>
      <c r="L13" s="6">
        <v>400</v>
      </c>
      <c r="M13" s="6">
        <v>247</v>
      </c>
      <c r="N13" s="6">
        <v>147</v>
      </c>
      <c r="O13" s="6">
        <v>390</v>
      </c>
      <c r="P13" s="85">
        <f>P11*P12</f>
        <v>480</v>
      </c>
      <c r="Q13" s="85">
        <f t="shared" ref="Q13:R13" si="4">Q11*Q12</f>
        <v>960</v>
      </c>
      <c r="R13" s="96">
        <f t="shared" si="4"/>
        <v>360</v>
      </c>
      <c r="S13" s="73"/>
      <c r="T13" s="30"/>
      <c r="U13" s="30">
        <v>1775</v>
      </c>
      <c r="V13" s="73"/>
      <c r="W13" s="30">
        <f>W18</f>
        <v>14000</v>
      </c>
      <c r="X13" s="30">
        <v>1750</v>
      </c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</row>
    <row r="14" spans="1:133" x14ac:dyDescent="0.15">
      <c r="A14" s="13" t="s">
        <v>20</v>
      </c>
      <c r="B14" s="4" t="s">
        <v>5</v>
      </c>
      <c r="C14" s="44">
        <f>C13/(C8/60)/4180</f>
        <v>1.5932467383632041</v>
      </c>
      <c r="D14" s="5">
        <f t="shared" ref="D14:O14" si="5">D13/(D8/60)/4180</f>
        <v>2.146869149157479</v>
      </c>
      <c r="E14" s="5">
        <f t="shared" si="5"/>
        <v>2.6211774495527358</v>
      </c>
      <c r="F14" s="31">
        <f t="shared" si="5"/>
        <v>1.937799043062201</v>
      </c>
      <c r="G14" s="5">
        <f t="shared" si="5"/>
        <v>0.86124401913875603</v>
      </c>
      <c r="H14" s="5">
        <f t="shared" si="5"/>
        <v>0.86124401913875603</v>
      </c>
      <c r="I14" s="5">
        <f t="shared" si="5"/>
        <v>0.35885167464114831</v>
      </c>
      <c r="J14" s="5">
        <f t="shared" si="5"/>
        <v>0.57416267942583732</v>
      </c>
      <c r="K14" s="5">
        <f t="shared" si="5"/>
        <v>2.445933014354067</v>
      </c>
      <c r="L14" s="5">
        <f t="shared" si="5"/>
        <v>2.8708133971291865</v>
      </c>
      <c r="M14" s="5">
        <f t="shared" si="5"/>
        <v>0.88636363636363635</v>
      </c>
      <c r="N14" s="5">
        <f t="shared" si="5"/>
        <v>1.0550239234449761</v>
      </c>
      <c r="O14" s="5">
        <f t="shared" si="5"/>
        <v>1.3995215311004785</v>
      </c>
      <c r="P14" s="77">
        <f>P13/(P8/60)/4180</f>
        <v>3.4449760765550241</v>
      </c>
      <c r="Q14" s="77">
        <f>Q13/(Q8/60)/4180</f>
        <v>3.4449760765550241</v>
      </c>
      <c r="R14" s="94">
        <f t="shared" ref="R14" si="6">R13/(R8/60)/4180</f>
        <v>1.2918660287081341</v>
      </c>
      <c r="S14" s="73"/>
      <c r="T14" s="31">
        <f>T13/(T8/60)/4180</f>
        <v>0</v>
      </c>
      <c r="U14" s="31">
        <f>U13/(U8/60)/4180</f>
        <v>2.2349534122387307</v>
      </c>
      <c r="V14" s="73"/>
      <c r="W14" s="31">
        <f>W13/(W8/60)/4180</f>
        <v>2.2034751951649456</v>
      </c>
      <c r="X14" s="31">
        <f>X13/(X8/60)/4180</f>
        <v>2.2034751951649456</v>
      </c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</row>
    <row r="15" spans="1:133" x14ac:dyDescent="0.15">
      <c r="A15" s="13"/>
      <c r="B15" s="4"/>
      <c r="C15" s="44"/>
      <c r="D15" s="4"/>
      <c r="E15" s="4"/>
      <c r="F15" s="32"/>
      <c r="G15" s="4"/>
      <c r="H15" s="4"/>
      <c r="I15" s="4"/>
      <c r="J15" s="4"/>
      <c r="K15" s="26"/>
      <c r="L15" s="4"/>
      <c r="M15" s="4"/>
      <c r="N15" s="4"/>
      <c r="O15" s="4"/>
      <c r="P15" s="84"/>
      <c r="Q15" s="87"/>
      <c r="R15" s="97"/>
      <c r="S15" s="75"/>
      <c r="T15" s="32"/>
      <c r="U15" s="32"/>
      <c r="V15" s="75"/>
      <c r="W15" s="32"/>
      <c r="X15" s="32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</row>
    <row r="16" spans="1:133" s="40" customFormat="1" x14ac:dyDescent="0.15">
      <c r="A16" s="13" t="s">
        <v>9</v>
      </c>
      <c r="B16" s="4" t="s">
        <v>10</v>
      </c>
      <c r="C16" s="44">
        <v>1</v>
      </c>
      <c r="D16" s="30">
        <f>'Present YE1 '!D16</f>
        <v>9</v>
      </c>
      <c r="E16" s="30">
        <f>'Present YE1 '!E16</f>
        <v>9</v>
      </c>
      <c r="F16" s="30">
        <f>'Present YE1 '!F16</f>
        <v>18</v>
      </c>
      <c r="G16" s="30">
        <f>'Present YE1 '!H16</f>
        <v>6</v>
      </c>
      <c r="H16" s="30">
        <f>'Present YE1 '!I16</f>
        <v>6</v>
      </c>
      <c r="I16" s="30">
        <f>'Present YE1 '!J16</f>
        <v>1</v>
      </c>
      <c r="J16" s="30">
        <f>'Present YE1 '!K16</f>
        <v>18</v>
      </c>
      <c r="K16" s="30">
        <f>'Present YE1 '!L16</f>
        <v>6</v>
      </c>
      <c r="L16" s="30">
        <f>'Present YE1 '!M16</f>
        <v>12</v>
      </c>
      <c r="M16" s="30">
        <f>'Present YE1 '!N16</f>
        <v>6</v>
      </c>
      <c r="N16" s="30">
        <f>'Present YE1 '!O16</f>
        <v>30</v>
      </c>
      <c r="O16" s="30">
        <f>'Present YE1 '!P16</f>
        <v>4</v>
      </c>
      <c r="P16" s="84">
        <v>6</v>
      </c>
      <c r="Q16" s="87">
        <v>6</v>
      </c>
      <c r="R16" s="98">
        <v>18</v>
      </c>
      <c r="S16" s="73"/>
      <c r="T16" s="30">
        <v>1</v>
      </c>
      <c r="U16" s="30">
        <v>8</v>
      </c>
      <c r="V16" s="73"/>
      <c r="W16" s="30">
        <v>1</v>
      </c>
      <c r="X16" s="30">
        <v>8</v>
      </c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</row>
    <row r="17" spans="1:133" x14ac:dyDescent="0.15">
      <c r="A17" s="13" t="s">
        <v>19</v>
      </c>
      <c r="B17" s="4" t="s">
        <v>59</v>
      </c>
      <c r="C17" s="44">
        <f>SUM(D17:Q17)</f>
        <v>367.4</v>
      </c>
      <c r="D17" s="4">
        <f>D16*D8</f>
        <v>20.7</v>
      </c>
      <c r="E17" s="4">
        <f t="shared" ref="E17:X17" si="7">E16*E8</f>
        <v>20.7</v>
      </c>
      <c r="F17" s="32">
        <f t="shared" si="7"/>
        <v>72</v>
      </c>
      <c r="G17" s="4">
        <f t="shared" si="7"/>
        <v>12</v>
      </c>
      <c r="H17" s="4">
        <f t="shared" si="7"/>
        <v>12</v>
      </c>
      <c r="I17" s="4">
        <f t="shared" si="7"/>
        <v>4</v>
      </c>
      <c r="J17" s="4">
        <f t="shared" si="7"/>
        <v>36</v>
      </c>
      <c r="K17" s="28">
        <f t="shared" si="7"/>
        <v>30</v>
      </c>
      <c r="L17" s="4">
        <f t="shared" si="7"/>
        <v>24</v>
      </c>
      <c r="M17" s="4">
        <f t="shared" si="7"/>
        <v>24</v>
      </c>
      <c r="N17" s="4">
        <f t="shared" si="7"/>
        <v>60</v>
      </c>
      <c r="O17" s="4">
        <f t="shared" si="7"/>
        <v>16</v>
      </c>
      <c r="P17" s="32">
        <f t="shared" si="7"/>
        <v>12</v>
      </c>
      <c r="Q17" s="32">
        <f t="shared" si="7"/>
        <v>24</v>
      </c>
      <c r="R17" s="98">
        <f>R16*R8</f>
        <v>72</v>
      </c>
      <c r="S17" s="75"/>
      <c r="T17" s="32">
        <f t="shared" si="7"/>
        <v>91.2</v>
      </c>
      <c r="U17" s="32">
        <f t="shared" si="7"/>
        <v>91.2</v>
      </c>
      <c r="V17" s="75"/>
      <c r="W17" s="32">
        <f t="shared" si="7"/>
        <v>91.2</v>
      </c>
      <c r="X17" s="32">
        <f t="shared" si="7"/>
        <v>91.2</v>
      </c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</row>
    <row r="18" spans="1:133" x14ac:dyDescent="0.15">
      <c r="A18" s="13" t="s">
        <v>22</v>
      </c>
      <c r="B18" s="4" t="s">
        <v>8</v>
      </c>
      <c r="C18" s="44">
        <f>SUM(D18:Q18)</f>
        <v>40780</v>
      </c>
      <c r="D18" s="6">
        <f t="shared" ref="D18:K18" si="8">D16*D13</f>
        <v>3096</v>
      </c>
      <c r="E18" s="6">
        <f t="shared" si="8"/>
        <v>3780</v>
      </c>
      <c r="F18" s="30">
        <f t="shared" si="8"/>
        <v>9720</v>
      </c>
      <c r="G18" s="6">
        <f t="shared" si="8"/>
        <v>720</v>
      </c>
      <c r="H18" s="6">
        <f t="shared" si="8"/>
        <v>720</v>
      </c>
      <c r="I18" s="6">
        <f t="shared" si="8"/>
        <v>100</v>
      </c>
      <c r="J18" s="6">
        <f t="shared" si="8"/>
        <v>1440</v>
      </c>
      <c r="K18" s="6">
        <f t="shared" si="8"/>
        <v>5112</v>
      </c>
      <c r="L18" s="6"/>
      <c r="M18" s="6">
        <f t="shared" ref="M18:O18" si="9">M16*M13</f>
        <v>1482</v>
      </c>
      <c r="N18" s="6">
        <f t="shared" si="9"/>
        <v>4410</v>
      </c>
      <c r="O18" s="6">
        <f t="shared" si="9"/>
        <v>1560</v>
      </c>
      <c r="P18" s="30">
        <f>P16*P13</f>
        <v>2880</v>
      </c>
      <c r="Q18" s="30">
        <f>Q16*Q13</f>
        <v>5760</v>
      </c>
      <c r="R18" s="92">
        <f t="shared" ref="R18" si="10">R16*R13</f>
        <v>6480</v>
      </c>
      <c r="S18" s="74"/>
      <c r="T18" s="30">
        <f>U18</f>
        <v>14200</v>
      </c>
      <c r="U18" s="30">
        <f>U16*U13</f>
        <v>14200</v>
      </c>
      <c r="V18" s="74"/>
      <c r="W18" s="30">
        <f>X18</f>
        <v>14000</v>
      </c>
      <c r="X18" s="30">
        <f>X16*X13</f>
        <v>14000</v>
      </c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</row>
    <row r="19" spans="1:133" x14ac:dyDescent="0.15">
      <c r="A19" s="13" t="s">
        <v>24</v>
      </c>
      <c r="B19" s="4" t="s">
        <v>8</v>
      </c>
      <c r="C19" s="45"/>
      <c r="D19" s="4"/>
      <c r="E19" s="4"/>
      <c r="F19" s="4"/>
      <c r="G19" s="4"/>
      <c r="H19" s="4"/>
      <c r="I19" s="4"/>
      <c r="J19" s="4"/>
      <c r="K19" s="3"/>
      <c r="L19" s="3">
        <f>L16*L13</f>
        <v>4800</v>
      </c>
      <c r="M19" s="3"/>
      <c r="N19" s="3"/>
      <c r="O19" s="3"/>
      <c r="P19" s="28"/>
      <c r="Q19" s="71"/>
      <c r="R19" s="97"/>
      <c r="S19" s="60"/>
      <c r="T19" s="32"/>
      <c r="U19" s="32"/>
      <c r="V19" s="60"/>
      <c r="W19" s="32"/>
      <c r="X19" s="32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</row>
    <row r="20" spans="1:133" x14ac:dyDescent="0.15">
      <c r="A20" s="13"/>
      <c r="B20" s="4"/>
      <c r="C20" s="45"/>
      <c r="D20" s="4"/>
      <c r="E20" s="4"/>
      <c r="F20" s="4"/>
      <c r="G20" s="4"/>
      <c r="H20" s="4"/>
      <c r="I20" s="4"/>
      <c r="J20" s="4"/>
      <c r="K20" s="3"/>
      <c r="L20" s="3"/>
      <c r="M20" s="3"/>
      <c r="N20" s="3"/>
      <c r="O20" s="3"/>
      <c r="P20" s="28"/>
      <c r="Q20" s="71"/>
      <c r="R20" s="97"/>
      <c r="S20" s="60"/>
      <c r="T20" s="32"/>
      <c r="U20" s="32"/>
      <c r="V20" s="60"/>
      <c r="W20" s="32"/>
      <c r="X20" s="32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</row>
    <row r="21" spans="1:133" x14ac:dyDescent="0.15">
      <c r="A21" s="13" t="s">
        <v>15</v>
      </c>
      <c r="B21" s="4" t="s">
        <v>0</v>
      </c>
      <c r="C21" s="45"/>
      <c r="D21" s="4"/>
      <c r="E21" s="4"/>
      <c r="F21" s="4"/>
      <c r="G21" s="4"/>
      <c r="H21" s="4"/>
      <c r="I21" s="4" t="s">
        <v>35</v>
      </c>
      <c r="J21" s="4"/>
      <c r="K21" s="4" t="s">
        <v>44</v>
      </c>
      <c r="L21" s="4"/>
      <c r="M21" s="4"/>
      <c r="N21" s="4"/>
      <c r="O21" s="4"/>
      <c r="P21" s="28"/>
      <c r="Q21" s="71" t="s">
        <v>35</v>
      </c>
      <c r="R21" s="97"/>
      <c r="S21" s="75"/>
      <c r="T21" s="32"/>
      <c r="U21" s="32"/>
      <c r="V21" s="75"/>
      <c r="W21" s="32"/>
      <c r="X21" s="32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</row>
    <row r="22" spans="1:133" x14ac:dyDescent="0.15">
      <c r="A22" s="12"/>
      <c r="B22" s="10"/>
      <c r="C22" s="10"/>
      <c r="D22" s="10"/>
      <c r="E22" s="10"/>
      <c r="F22" s="10"/>
      <c r="G22" s="10"/>
      <c r="H22" s="10"/>
      <c r="I22" s="10"/>
      <c r="J22" s="10"/>
      <c r="K22" s="12"/>
      <c r="L22" s="12"/>
      <c r="M22" s="12"/>
      <c r="N22" s="12"/>
      <c r="O22" s="12"/>
      <c r="P22" s="2"/>
      <c r="Q22" s="2"/>
      <c r="R22" s="99"/>
      <c r="S22" s="12"/>
      <c r="T22" s="10"/>
      <c r="U22" s="10"/>
      <c r="V22" s="12"/>
      <c r="W22" s="10"/>
      <c r="X22" s="10"/>
    </row>
    <row r="23" spans="1:133" x14ac:dyDescent="0.15">
      <c r="A23" s="35" t="s">
        <v>76</v>
      </c>
      <c r="B23" s="33"/>
      <c r="C23" s="33"/>
      <c r="P23" s="2"/>
      <c r="Q23" s="2"/>
      <c r="R23" s="99"/>
    </row>
    <row r="24" spans="1:133" x14ac:dyDescent="0.15">
      <c r="A24" s="16" t="s">
        <v>52</v>
      </c>
      <c r="B24" s="17" t="s">
        <v>7</v>
      </c>
      <c r="C24" s="18">
        <f>C8</f>
        <v>367.4</v>
      </c>
      <c r="D24" s="2"/>
      <c r="E24" s="2"/>
      <c r="F24" s="2"/>
      <c r="G24" s="2"/>
      <c r="H24" s="2"/>
      <c r="I24" s="2"/>
      <c r="J24" s="2"/>
      <c r="R24" s="99"/>
      <c r="T24" s="2"/>
      <c r="U24" s="2"/>
      <c r="W24" s="2"/>
      <c r="X24" s="2"/>
    </row>
    <row r="25" spans="1:133" x14ac:dyDescent="0.15">
      <c r="A25" s="16" t="s">
        <v>23</v>
      </c>
      <c r="B25" s="17" t="s">
        <v>98</v>
      </c>
      <c r="C25" s="18">
        <f>C18/1000</f>
        <v>40.78</v>
      </c>
      <c r="D25" s="2"/>
      <c r="E25" s="2"/>
      <c r="F25" s="2"/>
      <c r="G25" s="2"/>
      <c r="H25" s="2"/>
      <c r="I25" s="2"/>
      <c r="J25" s="2"/>
      <c r="P25" s="2"/>
      <c r="Q25" s="2"/>
      <c r="R25" s="99"/>
      <c r="T25" s="2"/>
      <c r="U25" s="2"/>
      <c r="W25" s="2"/>
      <c r="X25" s="2"/>
    </row>
    <row r="26" spans="1:133" x14ac:dyDescent="0.15">
      <c r="A26" s="16" t="s">
        <v>21</v>
      </c>
      <c r="B26" s="17" t="s">
        <v>5</v>
      </c>
      <c r="C26" s="19">
        <f>C25/(C24/60)/4.18</f>
        <v>1.5932467383632041</v>
      </c>
      <c r="D26" s="2"/>
      <c r="E26" s="2"/>
      <c r="F26" s="2"/>
      <c r="G26" s="2"/>
      <c r="H26" s="2"/>
      <c r="I26" s="2"/>
      <c r="J26" s="2"/>
      <c r="T26" s="2"/>
      <c r="U26" s="2"/>
      <c r="W26" s="2"/>
      <c r="X26" s="2"/>
    </row>
    <row r="27" spans="1:133" ht="18" x14ac:dyDescent="0.2">
      <c r="A27" s="20"/>
      <c r="U27" s="2"/>
      <c r="W27" s="2"/>
      <c r="X27" s="2"/>
    </row>
    <row r="28" spans="1:133" x14ac:dyDescent="0.15">
      <c r="A28" s="35" t="s">
        <v>77</v>
      </c>
      <c r="B28" s="33"/>
      <c r="C28" s="33"/>
    </row>
    <row r="29" spans="1:133" x14ac:dyDescent="0.15">
      <c r="A29" s="53" t="s">
        <v>53</v>
      </c>
      <c r="B29" s="54" t="s">
        <v>7</v>
      </c>
      <c r="C29" s="55">
        <f>T8+W8</f>
        <v>182.4</v>
      </c>
      <c r="D29" t="s">
        <v>60</v>
      </c>
      <c r="V29" s="2"/>
      <c r="W29" s="2"/>
    </row>
    <row r="30" spans="1:133" x14ac:dyDescent="0.15">
      <c r="A30" s="53" t="s">
        <v>23</v>
      </c>
      <c r="B30" s="54" t="s">
        <v>8</v>
      </c>
      <c r="C30" s="55">
        <f>T18+W18</f>
        <v>28200</v>
      </c>
      <c r="D30" t="s">
        <v>61</v>
      </c>
    </row>
    <row r="31" spans="1:133" x14ac:dyDescent="0.15">
      <c r="A31" s="53" t="s">
        <v>21</v>
      </c>
      <c r="B31" s="54" t="s">
        <v>5</v>
      </c>
      <c r="C31" s="56">
        <f>C30/(C29/60)/4180</f>
        <v>2.2192143037018379</v>
      </c>
    </row>
    <row r="35" spans="1:1" x14ac:dyDescent="0.15">
      <c r="A35" t="s">
        <v>118</v>
      </c>
    </row>
    <row r="36" spans="1:1" x14ac:dyDescent="0.15">
      <c r="A36" t="s">
        <v>119</v>
      </c>
    </row>
    <row r="37" spans="1:1" x14ac:dyDescent="0.15">
      <c r="A37" t="s">
        <v>120</v>
      </c>
    </row>
    <row r="38" spans="1:1" x14ac:dyDescent="0.15">
      <c r="A38" t="s">
        <v>121</v>
      </c>
    </row>
  </sheetData>
  <mergeCells count="2">
    <mergeCell ref="B2:O2"/>
    <mergeCell ref="T2:X2"/>
  </mergeCells>
  <pageMargins left="0.75" right="0.75" top="1" bottom="1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EF1C1-FE5E-5047-8809-AAA1D563FCDA}">
  <dimension ref="A1:EC31"/>
  <sheetViews>
    <sheetView zoomScale="109" zoomScaleNormal="150" workbookViewId="0">
      <selection activeCell="G19" sqref="G19"/>
    </sheetView>
  </sheetViews>
  <sheetFormatPr baseColWidth="10" defaultColWidth="8.83203125" defaultRowHeight="13" x14ac:dyDescent="0.15"/>
  <cols>
    <col min="1" max="1" width="28.33203125" customWidth="1"/>
    <col min="2" max="2" width="7.6640625" customWidth="1"/>
    <col min="3" max="3" width="8.6640625" customWidth="1"/>
    <col min="4" max="10" width="7.6640625" customWidth="1"/>
    <col min="11" max="12" width="5.6640625" style="100" customWidth="1"/>
    <col min="13" max="14" width="7.5" style="100" customWidth="1"/>
    <col min="15" max="15" width="8.5" style="100" customWidth="1"/>
    <col min="16" max="18" width="8.5" customWidth="1"/>
    <col min="19" max="19" width="2.6640625" customWidth="1"/>
    <col min="20" max="21" width="7.6640625" customWidth="1"/>
    <col min="22" max="22" width="2.6640625" customWidth="1"/>
    <col min="23" max="23" width="8" customWidth="1"/>
    <col min="24" max="24" width="7.6640625" customWidth="1"/>
  </cols>
  <sheetData>
    <row r="1" spans="1:133" ht="18" x14ac:dyDescent="0.2">
      <c r="A1" s="20" t="s">
        <v>88</v>
      </c>
      <c r="M1" s="100" t="s">
        <v>101</v>
      </c>
      <c r="P1" t="s">
        <v>80</v>
      </c>
      <c r="Q1" t="s">
        <v>85</v>
      </c>
      <c r="R1" t="s">
        <v>85</v>
      </c>
    </row>
    <row r="2" spans="1:133" x14ac:dyDescent="0.15">
      <c r="B2" s="119" t="s">
        <v>65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T2" s="120" t="s">
        <v>66</v>
      </c>
      <c r="U2" s="120"/>
      <c r="V2" s="120"/>
      <c r="W2" s="120"/>
      <c r="X2" s="120"/>
    </row>
    <row r="3" spans="1:133" ht="70" x14ac:dyDescent="0.15">
      <c r="A3" s="11"/>
      <c r="B3" s="14" t="s">
        <v>3</v>
      </c>
      <c r="C3" s="47" t="s">
        <v>74</v>
      </c>
      <c r="D3" s="14" t="s">
        <v>47</v>
      </c>
      <c r="E3" s="14" t="s">
        <v>48</v>
      </c>
      <c r="F3" s="14" t="s">
        <v>30</v>
      </c>
      <c r="G3" s="14" t="s">
        <v>49</v>
      </c>
      <c r="H3" s="14" t="s">
        <v>50</v>
      </c>
      <c r="I3" s="14" t="s">
        <v>45</v>
      </c>
      <c r="J3" s="14" t="s">
        <v>31</v>
      </c>
      <c r="K3" s="101" t="s">
        <v>62</v>
      </c>
      <c r="L3" s="102" t="s">
        <v>13</v>
      </c>
      <c r="M3" s="102" t="s">
        <v>46</v>
      </c>
      <c r="N3" s="102" t="s">
        <v>51</v>
      </c>
      <c r="O3" s="102" t="s">
        <v>54</v>
      </c>
      <c r="P3" s="70" t="s">
        <v>81</v>
      </c>
      <c r="Q3" s="72" t="s">
        <v>82</v>
      </c>
      <c r="R3" s="72" t="s">
        <v>83</v>
      </c>
      <c r="S3" s="7"/>
      <c r="T3" s="14" t="s">
        <v>28</v>
      </c>
      <c r="U3" s="51" t="s">
        <v>18</v>
      </c>
      <c r="V3" s="7"/>
      <c r="W3" s="14" t="s">
        <v>29</v>
      </c>
      <c r="X3" s="51" t="s">
        <v>18</v>
      </c>
    </row>
    <row r="4" spans="1:133" x14ac:dyDescent="0.15">
      <c r="A4" s="13" t="s">
        <v>1</v>
      </c>
      <c r="B4" s="4" t="s">
        <v>6</v>
      </c>
      <c r="C4" s="43">
        <v>60.32</v>
      </c>
      <c r="D4" s="5">
        <v>9.5</v>
      </c>
      <c r="E4" s="5">
        <v>9.5</v>
      </c>
      <c r="F4" s="5">
        <v>9.5</v>
      </c>
      <c r="G4" s="5">
        <v>8</v>
      </c>
      <c r="H4" s="5">
        <v>8</v>
      </c>
      <c r="I4" s="5">
        <v>8</v>
      </c>
      <c r="J4" s="5">
        <v>8</v>
      </c>
      <c r="K4" s="103">
        <v>12.7</v>
      </c>
      <c r="L4" s="103">
        <v>12.7</v>
      </c>
      <c r="M4" s="103">
        <v>10</v>
      </c>
      <c r="N4" s="103">
        <v>10</v>
      </c>
      <c r="O4" s="103">
        <v>10</v>
      </c>
      <c r="P4" s="82">
        <v>8</v>
      </c>
      <c r="Q4" s="83">
        <v>8</v>
      </c>
      <c r="R4" s="83">
        <v>10</v>
      </c>
      <c r="S4" s="8"/>
      <c r="T4" s="5">
        <v>48.26</v>
      </c>
      <c r="U4" s="5">
        <v>33.700000000000003</v>
      </c>
      <c r="V4" s="8"/>
      <c r="W4" s="5">
        <v>48.26</v>
      </c>
      <c r="X4" s="5">
        <v>33.700000000000003</v>
      </c>
    </row>
    <row r="5" spans="1:133" x14ac:dyDescent="0.15">
      <c r="A5" s="13" t="s">
        <v>2</v>
      </c>
      <c r="B5" s="4" t="s">
        <v>6</v>
      </c>
      <c r="C5" s="43">
        <v>1.65</v>
      </c>
      <c r="D5" s="5">
        <v>0.76</v>
      </c>
      <c r="E5" s="5">
        <v>0.76</v>
      </c>
      <c r="F5" s="5">
        <v>0.76</v>
      </c>
      <c r="G5" s="5">
        <v>1</v>
      </c>
      <c r="H5" s="5">
        <v>1</v>
      </c>
      <c r="I5" s="5">
        <v>1</v>
      </c>
      <c r="J5" s="5">
        <v>1</v>
      </c>
      <c r="K5" s="103">
        <v>1.24</v>
      </c>
      <c r="L5" s="103">
        <v>1.24</v>
      </c>
      <c r="M5" s="103">
        <v>1</v>
      </c>
      <c r="N5" s="103">
        <v>1</v>
      </c>
      <c r="O5" s="103">
        <v>1</v>
      </c>
      <c r="P5" s="82">
        <v>1</v>
      </c>
      <c r="Q5" s="83">
        <v>1</v>
      </c>
      <c r="R5" s="83">
        <v>1</v>
      </c>
      <c r="S5" s="8"/>
      <c r="T5" s="5">
        <v>1.65</v>
      </c>
      <c r="U5" s="5">
        <v>3.2</v>
      </c>
      <c r="V5" s="8"/>
      <c r="W5" s="5">
        <v>1.65</v>
      </c>
      <c r="X5" s="5">
        <v>3.2</v>
      </c>
    </row>
    <row r="6" spans="1:133" x14ac:dyDescent="0.15">
      <c r="A6" s="13" t="s">
        <v>25</v>
      </c>
      <c r="B6" s="4" t="s">
        <v>6</v>
      </c>
      <c r="C6" s="43">
        <f t="shared" ref="C6:O6" si="0">C4-(2*C5)</f>
        <v>57.02</v>
      </c>
      <c r="D6" s="5">
        <f t="shared" si="0"/>
        <v>7.98</v>
      </c>
      <c r="E6" s="5">
        <f t="shared" si="0"/>
        <v>7.98</v>
      </c>
      <c r="F6" s="5">
        <f t="shared" si="0"/>
        <v>7.98</v>
      </c>
      <c r="G6" s="5">
        <f t="shared" si="0"/>
        <v>6</v>
      </c>
      <c r="H6" s="5">
        <f t="shared" si="0"/>
        <v>6</v>
      </c>
      <c r="I6" s="5">
        <f t="shared" si="0"/>
        <v>6</v>
      </c>
      <c r="J6" s="5">
        <f>J4-(2*J5)</f>
        <v>6</v>
      </c>
      <c r="K6" s="103">
        <f t="shared" si="0"/>
        <v>10.219999999999999</v>
      </c>
      <c r="L6" s="103">
        <f t="shared" si="0"/>
        <v>10.219999999999999</v>
      </c>
      <c r="M6" s="103">
        <f t="shared" si="0"/>
        <v>8</v>
      </c>
      <c r="N6" s="103">
        <f t="shared" si="0"/>
        <v>8</v>
      </c>
      <c r="O6" s="103">
        <f t="shared" si="0"/>
        <v>8</v>
      </c>
      <c r="P6" s="83">
        <f>P4-2*P5</f>
        <v>6</v>
      </c>
      <c r="Q6" s="83">
        <f>Q4-2*Q5</f>
        <v>6</v>
      </c>
      <c r="R6" s="83">
        <f>R4-2*R5</f>
        <v>8</v>
      </c>
      <c r="S6" s="73"/>
      <c r="T6" s="31">
        <f>T4-(2*T5)</f>
        <v>44.96</v>
      </c>
      <c r="U6" s="31">
        <f>U4-(2*U5)</f>
        <v>27.300000000000004</v>
      </c>
      <c r="V6" s="73"/>
      <c r="W6" s="31">
        <f>W4-(2*W5)</f>
        <v>44.96</v>
      </c>
      <c r="X6" s="31">
        <f>X4-(2*X5)</f>
        <v>27.300000000000004</v>
      </c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</row>
    <row r="7" spans="1:133" ht="15" x14ac:dyDescent="0.15">
      <c r="A7" s="13" t="s">
        <v>26</v>
      </c>
      <c r="B7" s="4" t="s">
        <v>11</v>
      </c>
      <c r="C7" s="44">
        <f t="shared" ref="C7:R7" si="1">0.25*3.14*(C6^2)</f>
        <v>2552.2551140000005</v>
      </c>
      <c r="D7" s="6">
        <f t="shared" si="1"/>
        <v>49.989114000000008</v>
      </c>
      <c r="E7" s="6">
        <f t="shared" si="1"/>
        <v>49.989114000000008</v>
      </c>
      <c r="F7" s="6">
        <f t="shared" si="1"/>
        <v>49.989114000000008</v>
      </c>
      <c r="G7" s="6">
        <f t="shared" si="1"/>
        <v>28.26</v>
      </c>
      <c r="H7" s="6">
        <f t="shared" si="1"/>
        <v>28.26</v>
      </c>
      <c r="I7" s="6">
        <f t="shared" si="1"/>
        <v>28.26</v>
      </c>
      <c r="J7" s="6">
        <f t="shared" si="1"/>
        <v>28.26</v>
      </c>
      <c r="K7" s="104">
        <f t="shared" si="1"/>
        <v>81.991993999999991</v>
      </c>
      <c r="L7" s="104">
        <f t="shared" si="1"/>
        <v>81.991993999999991</v>
      </c>
      <c r="M7" s="104">
        <f t="shared" si="1"/>
        <v>50.24</v>
      </c>
      <c r="N7" s="104">
        <f t="shared" si="1"/>
        <v>50.24</v>
      </c>
      <c r="O7" s="104">
        <f t="shared" si="1"/>
        <v>50.24</v>
      </c>
      <c r="P7" s="30">
        <f t="shared" si="1"/>
        <v>28.26</v>
      </c>
      <c r="Q7" s="30">
        <f t="shared" si="1"/>
        <v>28.26</v>
      </c>
      <c r="R7" s="30">
        <f t="shared" si="1"/>
        <v>50.24</v>
      </c>
      <c r="S7" s="74"/>
      <c r="T7" s="30">
        <f>0.25*3.14*(T6^2)</f>
        <v>1586.8002560000002</v>
      </c>
      <c r="U7" s="30">
        <f>0.25*3.14*(U6^2)</f>
        <v>585.0526500000002</v>
      </c>
      <c r="V7" s="74"/>
      <c r="W7" s="30">
        <f>0.25*3.14*(W6^2)</f>
        <v>1586.8002560000002</v>
      </c>
      <c r="X7" s="30">
        <f>0.25*3.14*(X6^2)</f>
        <v>585.0526500000002</v>
      </c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</row>
    <row r="8" spans="1:133" s="40" customFormat="1" x14ac:dyDescent="0.15">
      <c r="A8" s="13" t="s">
        <v>4</v>
      </c>
      <c r="B8" s="4" t="s">
        <v>7</v>
      </c>
      <c r="C8" s="44">
        <f>SUMPRODUCT(D8:R8,D16:R16)-SUMPRODUCT(K8:O8,K16:O16)</f>
        <v>297.39999999999998</v>
      </c>
      <c r="D8" s="32">
        <f>'Present YE1 '!D8</f>
        <v>2.2999999999999998</v>
      </c>
      <c r="E8" s="32">
        <f>'Present YE1 '!E8</f>
        <v>2.2999999999999998</v>
      </c>
      <c r="F8" s="32">
        <f>'Present YE1 '!F8</f>
        <v>4</v>
      </c>
      <c r="G8" s="32">
        <f>'Present YE1 '!H8</f>
        <v>2</v>
      </c>
      <c r="H8" s="32">
        <f>'Present YE1 '!I8</f>
        <v>2</v>
      </c>
      <c r="I8" s="32">
        <f>'Present YE1 '!J8</f>
        <v>4</v>
      </c>
      <c r="J8" s="32">
        <f>'Present YE1 '!K8</f>
        <v>2</v>
      </c>
      <c r="K8" s="105">
        <f>'Present YE1 '!L8</f>
        <v>5</v>
      </c>
      <c r="L8" s="105">
        <f>'Present YE1 '!M8</f>
        <v>2</v>
      </c>
      <c r="M8" s="105">
        <f>'Present YE1 '!N8</f>
        <v>4</v>
      </c>
      <c r="N8" s="105">
        <f>'Present YE1 '!O8</f>
        <v>2</v>
      </c>
      <c r="O8" s="105">
        <f>'Present YE1 '!P8</f>
        <v>4</v>
      </c>
      <c r="P8" s="76">
        <v>2</v>
      </c>
      <c r="Q8" s="76">
        <v>6</v>
      </c>
      <c r="R8" s="76">
        <v>4</v>
      </c>
      <c r="S8" s="75"/>
      <c r="T8" s="32">
        <f>U8*U16</f>
        <v>91.2</v>
      </c>
      <c r="U8" s="32">
        <v>11.4</v>
      </c>
      <c r="V8" s="75"/>
      <c r="W8" s="32">
        <f>X8*X16</f>
        <v>91.2</v>
      </c>
      <c r="X8" s="32">
        <v>11.4</v>
      </c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</row>
    <row r="9" spans="1:133" x14ac:dyDescent="0.15">
      <c r="A9" s="13" t="s">
        <v>38</v>
      </c>
      <c r="B9" s="4" t="s">
        <v>14</v>
      </c>
      <c r="C9" s="44">
        <f t="shared" ref="C9:R9" si="2">(C8*1000/60)/C7</f>
        <v>1.9420733607223035</v>
      </c>
      <c r="D9" s="5">
        <f t="shared" si="2"/>
        <v>0.76683362168277935</v>
      </c>
      <c r="E9" s="5">
        <f t="shared" si="2"/>
        <v>0.76683362168277935</v>
      </c>
      <c r="F9" s="5">
        <f t="shared" si="2"/>
        <v>1.3336236898830947</v>
      </c>
      <c r="G9" s="5">
        <f t="shared" si="2"/>
        <v>1.1795234725171031</v>
      </c>
      <c r="H9" s="5">
        <f t="shared" si="2"/>
        <v>1.1795234725171031</v>
      </c>
      <c r="I9" s="5">
        <f t="shared" si="2"/>
        <v>2.3590469450342062</v>
      </c>
      <c r="J9" s="5">
        <f t="shared" si="2"/>
        <v>1.1795234725171031</v>
      </c>
      <c r="K9" s="103">
        <f t="shared" si="2"/>
        <v>1.0163593939834337</v>
      </c>
      <c r="L9" s="103">
        <f t="shared" si="2"/>
        <v>0.40654375759337358</v>
      </c>
      <c r="M9" s="103">
        <f t="shared" si="2"/>
        <v>1.3269639065817411</v>
      </c>
      <c r="N9" s="103">
        <f t="shared" si="2"/>
        <v>0.66348195329087056</v>
      </c>
      <c r="O9" s="103">
        <f t="shared" si="2"/>
        <v>1.3269639065817411</v>
      </c>
      <c r="P9" s="31">
        <f t="shared" si="2"/>
        <v>1.1795234725171031</v>
      </c>
      <c r="Q9" s="31">
        <f t="shared" si="2"/>
        <v>3.5385704175513091</v>
      </c>
      <c r="R9" s="31">
        <f t="shared" si="2"/>
        <v>1.3269639065817411</v>
      </c>
      <c r="S9" s="73"/>
      <c r="T9" s="31">
        <f>(T8*1000/60)/T7</f>
        <v>0.95790254271297504</v>
      </c>
      <c r="U9" s="31">
        <f>(U8*1000/60)/U7</f>
        <v>0.32475709664762636</v>
      </c>
      <c r="V9" s="73"/>
      <c r="W9" s="31">
        <f>(W8*1000/60)/W7</f>
        <v>0.95790254271297504</v>
      </c>
      <c r="X9" s="31">
        <f>(X8*1000/60)/X7</f>
        <v>0.32475709664762636</v>
      </c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</row>
    <row r="10" spans="1:133" x14ac:dyDescent="0.15">
      <c r="A10" s="13" t="s">
        <v>42</v>
      </c>
      <c r="B10" s="4" t="s">
        <v>43</v>
      </c>
      <c r="C10" s="44">
        <f t="shared" ref="C10:R10" si="3">(C9*(C6/1000))/(1.035*10^-6)</f>
        <v>106992.29278104905</v>
      </c>
      <c r="D10" s="6">
        <f t="shared" si="3"/>
        <v>5912.3983584817206</v>
      </c>
      <c r="E10" s="6">
        <f t="shared" si="3"/>
        <v>5912.3983584817206</v>
      </c>
      <c r="F10" s="6">
        <f t="shared" si="3"/>
        <v>10282.4319277943</v>
      </c>
      <c r="G10" s="6">
        <f t="shared" si="3"/>
        <v>6837.8172319832074</v>
      </c>
      <c r="H10" s="6">
        <f t="shared" si="3"/>
        <v>6837.8172319832074</v>
      </c>
      <c r="I10" s="6">
        <f t="shared" si="3"/>
        <v>13675.634463966415</v>
      </c>
      <c r="J10" s="6">
        <f t="shared" si="3"/>
        <v>6837.8172319832074</v>
      </c>
      <c r="K10" s="104">
        <f t="shared" si="3"/>
        <v>10035.935271991008</v>
      </c>
      <c r="L10" s="104">
        <f t="shared" si="3"/>
        <v>4014.374108796404</v>
      </c>
      <c r="M10" s="104">
        <f t="shared" si="3"/>
        <v>10256.725847974812</v>
      </c>
      <c r="N10" s="104">
        <f t="shared" si="3"/>
        <v>5128.3629239874062</v>
      </c>
      <c r="O10" s="104">
        <f t="shared" si="3"/>
        <v>10256.725847974812</v>
      </c>
      <c r="P10" s="30">
        <f t="shared" si="3"/>
        <v>6837.8172319832074</v>
      </c>
      <c r="Q10" s="30">
        <f t="shared" si="3"/>
        <v>20513.451695949621</v>
      </c>
      <c r="R10" s="30">
        <f t="shared" si="3"/>
        <v>10256.725847974812</v>
      </c>
      <c r="S10" s="73"/>
      <c r="T10" s="30">
        <f>(T9*(T6/1000))/(1.035*10^-6)</f>
        <v>41610.916251570401</v>
      </c>
      <c r="U10" s="30">
        <f>(U9*(U6/1000))/(1.035*10^-6)</f>
        <v>8566.0567521547855</v>
      </c>
      <c r="V10" s="73"/>
      <c r="W10" s="30">
        <f>(W9*(W6/1000))/(1.035*10^-6)</f>
        <v>41610.916251570401</v>
      </c>
      <c r="X10" s="30">
        <f>(X9*(X6/1000))/(1.035*10^-6)</f>
        <v>8566.0567521547855</v>
      </c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</row>
    <row r="11" spans="1:133" s="40" customFormat="1" x14ac:dyDescent="0.15">
      <c r="A11" s="13" t="s">
        <v>95</v>
      </c>
      <c r="B11" s="4" t="s">
        <v>8</v>
      </c>
      <c r="C11" s="44"/>
      <c r="D11" s="30">
        <f>'Present YE1 '!D11</f>
        <v>0</v>
      </c>
      <c r="E11" s="30">
        <f>'Present YE1 '!E11</f>
        <v>0</v>
      </c>
      <c r="F11" s="30">
        <f>'Present YE1 '!F11</f>
        <v>0</v>
      </c>
      <c r="G11" s="30">
        <f>'Present YE1 '!H11</f>
        <v>20</v>
      </c>
      <c r="H11" s="30">
        <f>'Present YE1 '!I11</f>
        <v>20</v>
      </c>
      <c r="I11" s="30">
        <f>'Present YE1 '!J11</f>
        <v>25</v>
      </c>
      <c r="J11" s="30" t="str">
        <f>'Present YE1 '!K11</f>
        <v>?</v>
      </c>
      <c r="K11" s="104">
        <f>'Present YE1 '!L11</f>
        <v>0</v>
      </c>
      <c r="L11" s="104">
        <f>'Present YE1 '!M11</f>
        <v>0</v>
      </c>
      <c r="M11" s="104">
        <f>'Present YE1 '!N11</f>
        <v>0</v>
      </c>
      <c r="N11" s="104">
        <f>'Present YE1 '!O11</f>
        <v>0</v>
      </c>
      <c r="O11" s="104">
        <f>'Present YE1 '!P11</f>
        <v>0</v>
      </c>
      <c r="P11" s="85">
        <v>40</v>
      </c>
      <c r="Q11" s="86">
        <v>160</v>
      </c>
      <c r="R11" s="86">
        <v>60</v>
      </c>
      <c r="S11" s="73"/>
      <c r="T11" s="30"/>
      <c r="U11" s="30"/>
      <c r="V11" s="73"/>
      <c r="W11" s="30"/>
      <c r="X11" s="30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</row>
    <row r="12" spans="1:133" s="40" customFormat="1" x14ac:dyDescent="0.15">
      <c r="A12" s="13" t="s">
        <v>73</v>
      </c>
      <c r="B12" s="4"/>
      <c r="C12" s="44"/>
      <c r="D12" s="30">
        <f>'Present YE1 '!D12</f>
        <v>0</v>
      </c>
      <c r="E12" s="30">
        <f>'Present YE1 '!E12</f>
        <v>0</v>
      </c>
      <c r="F12" s="30">
        <f>'Present YE1 '!F12</f>
        <v>0</v>
      </c>
      <c r="G12" s="30">
        <f>'Present YE1 '!H12</f>
        <v>6</v>
      </c>
      <c r="H12" s="30">
        <f>'Present YE1 '!I12</f>
        <v>6</v>
      </c>
      <c r="I12" s="30">
        <f>'Present YE1 '!J12</f>
        <v>4</v>
      </c>
      <c r="J12" s="30" t="str">
        <f>'Present YE1 '!K12</f>
        <v>?</v>
      </c>
      <c r="K12" s="104">
        <f>'Present YE1 '!L12</f>
        <v>0</v>
      </c>
      <c r="L12" s="104">
        <f>'Present YE1 '!M12</f>
        <v>0</v>
      </c>
      <c r="M12" s="104">
        <f>'Present YE1 '!N12</f>
        <v>0</v>
      </c>
      <c r="N12" s="104">
        <f>'Present YE1 '!O12</f>
        <v>0</v>
      </c>
      <c r="O12" s="104">
        <f>'Present YE1 '!P12</f>
        <v>0</v>
      </c>
      <c r="P12" s="85">
        <v>12</v>
      </c>
      <c r="Q12" s="86">
        <v>6</v>
      </c>
      <c r="R12" s="86">
        <v>6</v>
      </c>
      <c r="S12" s="73"/>
      <c r="T12" s="30"/>
      <c r="U12" s="30"/>
      <c r="V12" s="73"/>
      <c r="W12" s="30"/>
      <c r="X12" s="30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</row>
    <row r="13" spans="1:133" x14ac:dyDescent="0.15">
      <c r="A13" s="13" t="s">
        <v>17</v>
      </c>
      <c r="B13" s="4" t="s">
        <v>8</v>
      </c>
      <c r="C13" s="44">
        <f>C18</f>
        <v>34696</v>
      </c>
      <c r="D13" s="6">
        <v>344</v>
      </c>
      <c r="E13" s="6">
        <v>420</v>
      </c>
      <c r="F13" s="6">
        <v>540</v>
      </c>
      <c r="G13" s="6">
        <f>G12*G11</f>
        <v>120</v>
      </c>
      <c r="H13" s="6">
        <f>H12*H11</f>
        <v>120</v>
      </c>
      <c r="I13" s="6">
        <f>I12*I11</f>
        <v>100</v>
      </c>
      <c r="J13" s="6">
        <v>80</v>
      </c>
      <c r="K13" s="104">
        <v>852</v>
      </c>
      <c r="L13" s="104">
        <v>400</v>
      </c>
      <c r="M13" s="104">
        <v>247</v>
      </c>
      <c r="N13" s="104">
        <v>147</v>
      </c>
      <c r="O13" s="104">
        <v>390</v>
      </c>
      <c r="P13" s="85">
        <f>P11*P12</f>
        <v>480</v>
      </c>
      <c r="Q13" s="85">
        <f t="shared" ref="Q13:R13" si="4">Q11*Q12</f>
        <v>960</v>
      </c>
      <c r="R13" s="85">
        <f t="shared" si="4"/>
        <v>360</v>
      </c>
      <c r="S13" s="73"/>
      <c r="T13" s="30"/>
      <c r="U13" s="30">
        <v>1775</v>
      </c>
      <c r="V13" s="73"/>
      <c r="W13" s="30">
        <f>W18</f>
        <v>14000</v>
      </c>
      <c r="X13" s="30">
        <v>1750</v>
      </c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</row>
    <row r="14" spans="1:133" x14ac:dyDescent="0.15">
      <c r="A14" s="13" t="s">
        <v>20</v>
      </c>
      <c r="B14" s="4" t="s">
        <v>5</v>
      </c>
      <c r="C14" s="44">
        <f>C13/(C8/60)/4180</f>
        <v>1.6746089715331922</v>
      </c>
      <c r="D14" s="5">
        <f t="shared" ref="D14:O14" si="5">D13/(D8/60)/4180</f>
        <v>2.146869149157479</v>
      </c>
      <c r="E14" s="5">
        <f t="shared" si="5"/>
        <v>2.6211774495527358</v>
      </c>
      <c r="F14" s="31">
        <f t="shared" si="5"/>
        <v>1.937799043062201</v>
      </c>
      <c r="G14" s="5">
        <f t="shared" si="5"/>
        <v>0.86124401913875603</v>
      </c>
      <c r="H14" s="5">
        <f t="shared" si="5"/>
        <v>0.86124401913875603</v>
      </c>
      <c r="I14" s="5">
        <f t="shared" si="5"/>
        <v>0.35885167464114831</v>
      </c>
      <c r="J14" s="5">
        <f t="shared" si="5"/>
        <v>0.57416267942583732</v>
      </c>
      <c r="K14" s="103">
        <f t="shared" si="5"/>
        <v>2.445933014354067</v>
      </c>
      <c r="L14" s="103">
        <f t="shared" si="5"/>
        <v>2.8708133971291865</v>
      </c>
      <c r="M14" s="103">
        <f t="shared" si="5"/>
        <v>0.88636363636363635</v>
      </c>
      <c r="N14" s="103">
        <f t="shared" si="5"/>
        <v>1.0550239234449761</v>
      </c>
      <c r="O14" s="103">
        <f t="shared" si="5"/>
        <v>1.3995215311004785</v>
      </c>
      <c r="P14" s="77">
        <f>P13/(P8/60)/4180</f>
        <v>3.4449760765550241</v>
      </c>
      <c r="Q14" s="77">
        <f>Q13/(Q8/60)/4180</f>
        <v>2.2966507177033493</v>
      </c>
      <c r="R14" s="77">
        <f t="shared" ref="R14" si="6">R13/(R8/60)/4180</f>
        <v>1.2918660287081341</v>
      </c>
      <c r="S14" s="73"/>
      <c r="T14" s="31">
        <f>T13/(T8/60)/4180</f>
        <v>0</v>
      </c>
      <c r="U14" s="31">
        <f>U13/(U8/60)/4180</f>
        <v>2.2349534122387307</v>
      </c>
      <c r="V14" s="73"/>
      <c r="W14" s="31">
        <f>W13/(W8/60)/4180</f>
        <v>2.2034751951649456</v>
      </c>
      <c r="X14" s="31">
        <f>X13/(X8/60)/4180</f>
        <v>2.2034751951649456</v>
      </c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</row>
    <row r="15" spans="1:133" x14ac:dyDescent="0.15">
      <c r="A15" s="13"/>
      <c r="B15" s="4"/>
      <c r="C15" s="44"/>
      <c r="D15" s="4"/>
      <c r="E15" s="4"/>
      <c r="F15" s="32"/>
      <c r="G15" s="4"/>
      <c r="H15" s="4"/>
      <c r="I15" s="4"/>
      <c r="J15" s="4"/>
      <c r="K15" s="106"/>
      <c r="L15" s="105"/>
      <c r="M15" s="105"/>
      <c r="N15" s="105"/>
      <c r="O15" s="105"/>
      <c r="P15" s="84"/>
      <c r="Q15" s="87"/>
      <c r="R15" s="87"/>
      <c r="S15" s="75"/>
      <c r="T15" s="32"/>
      <c r="U15" s="32"/>
      <c r="V15" s="75"/>
      <c r="W15" s="32"/>
      <c r="X15" s="32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</row>
    <row r="16" spans="1:133" s="40" customFormat="1" x14ac:dyDescent="0.15">
      <c r="A16" s="13" t="s">
        <v>9</v>
      </c>
      <c r="B16" s="4" t="s">
        <v>10</v>
      </c>
      <c r="C16" s="44">
        <v>1</v>
      </c>
      <c r="D16" s="30">
        <f>'Present YE1 '!D16</f>
        <v>9</v>
      </c>
      <c r="E16" s="30">
        <f>'Present YE1 '!E16</f>
        <v>9</v>
      </c>
      <c r="F16" s="30">
        <f>'Present YE1 '!F16</f>
        <v>18</v>
      </c>
      <c r="G16" s="30">
        <f>'Present YE1 '!H16</f>
        <v>6</v>
      </c>
      <c r="H16" s="30">
        <f>'Present YE1 '!I16</f>
        <v>6</v>
      </c>
      <c r="I16" s="30">
        <f>'Present YE1 '!J16</f>
        <v>1</v>
      </c>
      <c r="J16" s="30">
        <f>'Present YE1 '!K16</f>
        <v>18</v>
      </c>
      <c r="K16" s="104">
        <f>'Present YE1 '!L16</f>
        <v>6</v>
      </c>
      <c r="L16" s="104">
        <f>'Present YE1 '!M16</f>
        <v>12</v>
      </c>
      <c r="M16" s="104">
        <f>'Present YE1 '!N16</f>
        <v>6</v>
      </c>
      <c r="N16" s="104">
        <f>'Present YE1 '!O16</f>
        <v>30</v>
      </c>
      <c r="O16" s="104">
        <f>'Present YE1 '!P16</f>
        <v>4</v>
      </c>
      <c r="P16" s="84">
        <v>6</v>
      </c>
      <c r="Q16" s="87">
        <v>6</v>
      </c>
      <c r="R16" s="32">
        <v>18</v>
      </c>
      <c r="S16" s="73"/>
      <c r="T16" s="30">
        <v>1</v>
      </c>
      <c r="U16" s="30">
        <v>8</v>
      </c>
      <c r="V16" s="73"/>
      <c r="W16" s="30">
        <v>1</v>
      </c>
      <c r="X16" s="30">
        <v>8</v>
      </c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</row>
    <row r="17" spans="1:133" x14ac:dyDescent="0.15">
      <c r="A17" s="13" t="s">
        <v>19</v>
      </c>
      <c r="B17" s="4" t="s">
        <v>59</v>
      </c>
      <c r="C17" s="44">
        <f>SUM(D17:O17)</f>
        <v>331.4</v>
      </c>
      <c r="D17" s="4">
        <f>D16*D8</f>
        <v>20.7</v>
      </c>
      <c r="E17" s="4">
        <f t="shared" ref="E17:X17" si="7">E16*E8</f>
        <v>20.7</v>
      </c>
      <c r="F17" s="32">
        <f t="shared" si="7"/>
        <v>72</v>
      </c>
      <c r="G17" s="4">
        <f t="shared" si="7"/>
        <v>12</v>
      </c>
      <c r="H17" s="4">
        <f t="shared" si="7"/>
        <v>12</v>
      </c>
      <c r="I17" s="4">
        <f t="shared" si="7"/>
        <v>4</v>
      </c>
      <c r="J17" s="4">
        <f t="shared" si="7"/>
        <v>36</v>
      </c>
      <c r="K17" s="107">
        <f t="shared" si="7"/>
        <v>30</v>
      </c>
      <c r="L17" s="105">
        <f t="shared" si="7"/>
        <v>24</v>
      </c>
      <c r="M17" s="105">
        <f t="shared" si="7"/>
        <v>24</v>
      </c>
      <c r="N17" s="105">
        <f t="shared" si="7"/>
        <v>60</v>
      </c>
      <c r="O17" s="105">
        <f t="shared" si="7"/>
        <v>16</v>
      </c>
      <c r="P17" s="32">
        <f>P16*P8</f>
        <v>12</v>
      </c>
      <c r="Q17" s="32">
        <f t="shared" si="7"/>
        <v>36</v>
      </c>
      <c r="R17" s="32">
        <f>R16*R8</f>
        <v>72</v>
      </c>
      <c r="S17" s="75"/>
      <c r="T17" s="32">
        <f t="shared" si="7"/>
        <v>91.2</v>
      </c>
      <c r="U17" s="32">
        <f t="shared" si="7"/>
        <v>91.2</v>
      </c>
      <c r="V17" s="75"/>
      <c r="W17" s="32">
        <f t="shared" si="7"/>
        <v>91.2</v>
      </c>
      <c r="X17" s="32">
        <f t="shared" si="7"/>
        <v>91.2</v>
      </c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</row>
    <row r="18" spans="1:133" x14ac:dyDescent="0.15">
      <c r="A18" s="13" t="s">
        <v>22</v>
      </c>
      <c r="B18" s="4" t="s">
        <v>8</v>
      </c>
      <c r="C18" s="44">
        <f>SUM(D18:R18)-SUM(K18:O18)</f>
        <v>34696</v>
      </c>
      <c r="D18" s="6">
        <f t="shared" ref="D18:K18" si="8">D16*D13</f>
        <v>3096</v>
      </c>
      <c r="E18" s="6">
        <f t="shared" si="8"/>
        <v>3780</v>
      </c>
      <c r="F18" s="30">
        <f t="shared" si="8"/>
        <v>9720</v>
      </c>
      <c r="G18" s="6">
        <f t="shared" si="8"/>
        <v>720</v>
      </c>
      <c r="H18" s="6">
        <f t="shared" si="8"/>
        <v>720</v>
      </c>
      <c r="I18" s="6">
        <f t="shared" si="8"/>
        <v>100</v>
      </c>
      <c r="J18" s="6">
        <f>J16*J13</f>
        <v>1440</v>
      </c>
      <c r="K18" s="104">
        <f t="shared" si="8"/>
        <v>5112</v>
      </c>
      <c r="L18" s="104"/>
      <c r="M18" s="104">
        <f t="shared" ref="M18:O18" si="9">M16*M13</f>
        <v>1482</v>
      </c>
      <c r="N18" s="104">
        <f t="shared" si="9"/>
        <v>4410</v>
      </c>
      <c r="O18" s="104">
        <f t="shared" si="9"/>
        <v>1560</v>
      </c>
      <c r="P18" s="30">
        <f>P16*P13</f>
        <v>2880</v>
      </c>
      <c r="Q18" s="30">
        <f>Q16*Q13</f>
        <v>5760</v>
      </c>
      <c r="R18" s="30">
        <f t="shared" ref="R18" si="10">R16*R13</f>
        <v>6480</v>
      </c>
      <c r="S18" s="74"/>
      <c r="T18" s="30">
        <f>U18</f>
        <v>14200</v>
      </c>
      <c r="U18" s="30">
        <f>U16*U13</f>
        <v>14200</v>
      </c>
      <c r="V18" s="74"/>
      <c r="W18" s="30">
        <f>X18</f>
        <v>14000</v>
      </c>
      <c r="X18" s="30">
        <f>X16*X13</f>
        <v>14000</v>
      </c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</row>
    <row r="19" spans="1:133" x14ac:dyDescent="0.15">
      <c r="A19" s="13" t="s">
        <v>24</v>
      </c>
      <c r="B19" s="4" t="s">
        <v>8</v>
      </c>
      <c r="C19" s="45"/>
      <c r="D19" s="4"/>
      <c r="E19" s="4"/>
      <c r="F19" s="4"/>
      <c r="G19" s="4"/>
      <c r="H19" s="4"/>
      <c r="I19" s="4"/>
      <c r="J19" s="4"/>
      <c r="K19" s="108"/>
      <c r="L19" s="108">
        <f>L16*L13</f>
        <v>4800</v>
      </c>
      <c r="M19" s="108"/>
      <c r="N19" s="108"/>
      <c r="O19" s="108"/>
      <c r="P19" s="28"/>
      <c r="Q19" s="71"/>
      <c r="R19" s="71"/>
      <c r="S19" s="60"/>
      <c r="T19" s="32"/>
      <c r="U19" s="32"/>
      <c r="V19" s="60"/>
      <c r="W19" s="32"/>
      <c r="X19" s="32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</row>
    <row r="20" spans="1:133" x14ac:dyDescent="0.15">
      <c r="A20" s="13"/>
      <c r="B20" s="4"/>
      <c r="C20" s="45"/>
      <c r="D20" s="4"/>
      <c r="E20" s="4"/>
      <c r="F20" s="4"/>
      <c r="G20" s="4"/>
      <c r="H20" s="4"/>
      <c r="I20" s="4"/>
      <c r="J20" s="4"/>
      <c r="K20" s="108"/>
      <c r="L20" s="108"/>
      <c r="M20" s="108"/>
      <c r="N20" s="108"/>
      <c r="O20" s="108"/>
      <c r="P20" s="28"/>
      <c r="Q20" s="71"/>
      <c r="R20" s="71"/>
      <c r="S20" s="60"/>
      <c r="T20" s="32"/>
      <c r="U20" s="32"/>
      <c r="V20" s="60"/>
      <c r="W20" s="32"/>
      <c r="X20" s="32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</row>
    <row r="21" spans="1:133" x14ac:dyDescent="0.15">
      <c r="A21" s="13" t="s">
        <v>15</v>
      </c>
      <c r="B21" s="4" t="s">
        <v>0</v>
      </c>
      <c r="C21" s="45"/>
      <c r="D21" s="4"/>
      <c r="E21" s="4"/>
      <c r="F21" s="4"/>
      <c r="G21" s="4"/>
      <c r="H21" s="4"/>
      <c r="I21" s="4" t="s">
        <v>35</v>
      </c>
      <c r="J21" s="4"/>
      <c r="K21" s="105" t="s">
        <v>44</v>
      </c>
      <c r="L21" s="105"/>
      <c r="M21" s="105"/>
      <c r="N21" s="105"/>
      <c r="O21" s="105"/>
      <c r="P21" s="28"/>
      <c r="Q21" s="71" t="s">
        <v>35</v>
      </c>
      <c r="R21" s="71"/>
      <c r="S21" s="75"/>
      <c r="T21" s="32"/>
      <c r="U21" s="32"/>
      <c r="V21" s="75"/>
      <c r="W21" s="32"/>
      <c r="X21" s="32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</row>
    <row r="22" spans="1:133" x14ac:dyDescent="0.15">
      <c r="A22" s="12"/>
      <c r="B22" s="10"/>
      <c r="C22" s="10"/>
      <c r="D22" s="10"/>
      <c r="E22" s="10"/>
      <c r="F22" s="10"/>
      <c r="G22" s="10"/>
      <c r="H22" s="10"/>
      <c r="I22" s="10"/>
      <c r="J22" s="10"/>
      <c r="K22" s="109"/>
      <c r="L22" s="109"/>
      <c r="M22" s="109"/>
      <c r="N22" s="109"/>
      <c r="O22" s="109"/>
      <c r="P22" s="2"/>
      <c r="Q22" s="2"/>
      <c r="R22" s="2"/>
      <c r="S22" s="12"/>
      <c r="T22" s="10"/>
      <c r="U22" s="10"/>
      <c r="V22" s="12"/>
      <c r="W22" s="10"/>
      <c r="X22" s="10"/>
    </row>
    <row r="23" spans="1:133" x14ac:dyDescent="0.15">
      <c r="A23" s="35" t="s">
        <v>76</v>
      </c>
      <c r="B23" s="33"/>
      <c r="C23" s="33"/>
      <c r="P23" s="2"/>
      <c r="Q23" s="2"/>
      <c r="R23" s="2"/>
    </row>
    <row r="24" spans="1:133" x14ac:dyDescent="0.15">
      <c r="A24" s="16" t="s">
        <v>52</v>
      </c>
      <c r="B24" s="17" t="s">
        <v>7</v>
      </c>
      <c r="C24" s="18">
        <f>C8</f>
        <v>297.39999999999998</v>
      </c>
      <c r="D24" s="2"/>
      <c r="E24" s="2"/>
      <c r="F24" s="2"/>
      <c r="G24" s="2"/>
      <c r="H24" s="2"/>
      <c r="I24" s="2"/>
      <c r="J24" s="2"/>
      <c r="P24" s="2"/>
      <c r="Q24" s="2"/>
      <c r="R24" s="2"/>
      <c r="T24" s="2"/>
      <c r="U24" s="2"/>
      <c r="W24" s="2"/>
      <c r="X24" s="2"/>
    </row>
    <row r="25" spans="1:133" x14ac:dyDescent="0.15">
      <c r="A25" s="16" t="s">
        <v>23</v>
      </c>
      <c r="B25" s="17" t="s">
        <v>8</v>
      </c>
      <c r="C25" s="18">
        <f>C18/1000</f>
        <v>34.695999999999998</v>
      </c>
      <c r="D25" s="2"/>
      <c r="E25" s="2"/>
      <c r="F25" s="2"/>
      <c r="G25" s="2"/>
      <c r="H25" s="2"/>
      <c r="I25" s="2"/>
      <c r="J25" s="2"/>
      <c r="P25" s="2"/>
      <c r="Q25" s="2"/>
      <c r="R25" s="2"/>
      <c r="T25" s="2"/>
      <c r="U25" s="2"/>
      <c r="W25" s="2"/>
      <c r="X25" s="2"/>
    </row>
    <row r="26" spans="1:133" x14ac:dyDescent="0.15">
      <c r="A26" s="16" t="s">
        <v>21</v>
      </c>
      <c r="B26" s="17" t="s">
        <v>5</v>
      </c>
      <c r="C26" s="19">
        <f>C25/(C24/60)/4.18</f>
        <v>1.6746089715331922</v>
      </c>
      <c r="D26" s="2"/>
      <c r="E26" s="2"/>
      <c r="F26" s="2"/>
      <c r="G26" s="2"/>
      <c r="H26" s="2"/>
      <c r="I26" s="2"/>
      <c r="J26" s="2"/>
      <c r="T26" s="2"/>
      <c r="U26" s="2"/>
      <c r="W26" s="2"/>
      <c r="X26" s="2"/>
    </row>
    <row r="27" spans="1:133" ht="18" x14ac:dyDescent="0.2">
      <c r="A27" s="20"/>
      <c r="U27" s="2"/>
      <c r="W27" s="2"/>
      <c r="X27" s="2"/>
    </row>
    <row r="28" spans="1:133" x14ac:dyDescent="0.15">
      <c r="A28" s="35" t="s">
        <v>77</v>
      </c>
      <c r="B28" s="33"/>
      <c r="C28" s="33"/>
    </row>
    <row r="29" spans="1:133" x14ac:dyDescent="0.15">
      <c r="A29" s="53" t="s">
        <v>53</v>
      </c>
      <c r="B29" s="54" t="s">
        <v>7</v>
      </c>
      <c r="C29" s="55">
        <f>T8+W8</f>
        <v>182.4</v>
      </c>
      <c r="D29" t="s">
        <v>60</v>
      </c>
      <c r="V29" s="2"/>
      <c r="W29" s="2"/>
    </row>
    <row r="30" spans="1:133" x14ac:dyDescent="0.15">
      <c r="A30" s="53" t="s">
        <v>23</v>
      </c>
      <c r="B30" s="54" t="s">
        <v>8</v>
      </c>
      <c r="C30" s="55">
        <f>T18+W18</f>
        <v>28200</v>
      </c>
      <c r="D30" t="s">
        <v>61</v>
      </c>
    </row>
    <row r="31" spans="1:133" x14ac:dyDescent="0.15">
      <c r="A31" s="53" t="s">
        <v>21</v>
      </c>
      <c r="B31" s="54" t="s">
        <v>5</v>
      </c>
      <c r="C31" s="56">
        <f>C30/(C29/60)/4180</f>
        <v>2.2192143037018379</v>
      </c>
    </row>
  </sheetData>
  <mergeCells count="2">
    <mergeCell ref="B2:O2"/>
    <mergeCell ref="T2:X2"/>
  </mergeCells>
  <pageMargins left="0.75" right="0.75" top="1" bottom="1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7"/>
  <sheetViews>
    <sheetView showGridLines="0" zoomScale="130" zoomScaleNormal="130" workbookViewId="0">
      <selection activeCell="G19" sqref="G19"/>
    </sheetView>
  </sheetViews>
  <sheetFormatPr baseColWidth="10" defaultColWidth="8.83203125" defaultRowHeight="13" x14ac:dyDescent="0.15"/>
  <cols>
    <col min="1" max="1" width="22.6640625" customWidth="1"/>
    <col min="2" max="2" width="7.6640625" customWidth="1"/>
    <col min="3" max="3" width="8.6640625" customWidth="1"/>
    <col min="4" max="6" width="7.6640625" customWidth="1"/>
    <col min="7" max="7" width="9.6640625" customWidth="1"/>
    <col min="8" max="9" width="7.6640625" customWidth="1"/>
    <col min="10" max="10" width="0.1640625" customWidth="1"/>
    <col min="11" max="34" width="8.83203125" style="62"/>
  </cols>
  <sheetData>
    <row r="1" spans="1:34" ht="18" x14ac:dyDescent="0.2">
      <c r="A1" s="20" t="s">
        <v>16</v>
      </c>
    </row>
    <row r="2" spans="1:34" x14ac:dyDescent="0.15">
      <c r="B2" s="119" t="s">
        <v>65</v>
      </c>
      <c r="C2" s="119"/>
      <c r="D2" s="119"/>
      <c r="E2" s="119"/>
      <c r="F2" s="119"/>
      <c r="G2" s="119"/>
      <c r="H2" s="119"/>
      <c r="I2" s="119"/>
      <c r="J2" s="36"/>
      <c r="K2" s="67"/>
      <c r="L2" s="67"/>
      <c r="M2" s="67"/>
      <c r="N2" s="67"/>
      <c r="O2" s="67"/>
    </row>
    <row r="3" spans="1:34" s="1" customFormat="1" ht="70" x14ac:dyDescent="0.15">
      <c r="A3" s="11"/>
      <c r="B3" s="14" t="s">
        <v>3</v>
      </c>
      <c r="C3" s="47" t="s">
        <v>12</v>
      </c>
      <c r="D3" s="14" t="s">
        <v>36</v>
      </c>
      <c r="E3" s="14" t="s">
        <v>37</v>
      </c>
      <c r="F3" s="14" t="s">
        <v>13</v>
      </c>
      <c r="G3" s="23" t="s">
        <v>55</v>
      </c>
      <c r="H3" s="14" t="s">
        <v>57</v>
      </c>
      <c r="I3" s="14" t="s">
        <v>58</v>
      </c>
      <c r="J3" s="7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</row>
    <row r="4" spans="1:34" x14ac:dyDescent="0.15">
      <c r="A4" s="13" t="s">
        <v>1</v>
      </c>
      <c r="B4" s="4" t="s">
        <v>6</v>
      </c>
      <c r="C4" s="43">
        <v>48.26</v>
      </c>
      <c r="D4" s="5">
        <v>9.5250000000000004</v>
      </c>
      <c r="E4" s="22">
        <v>9.5250000000000004</v>
      </c>
      <c r="F4" s="5">
        <v>12.7</v>
      </c>
      <c r="G4" s="5">
        <v>12.7</v>
      </c>
      <c r="H4" s="5">
        <v>12.7</v>
      </c>
      <c r="I4" s="5">
        <v>12.7</v>
      </c>
      <c r="J4" s="8"/>
    </row>
    <row r="5" spans="1:34" x14ac:dyDescent="0.15">
      <c r="A5" s="13" t="s">
        <v>2</v>
      </c>
      <c r="B5" s="4" t="s">
        <v>6</v>
      </c>
      <c r="C5" s="43">
        <v>1.65</v>
      </c>
      <c r="D5" s="5">
        <v>0.81279999999999997</v>
      </c>
      <c r="E5" s="22">
        <v>0.81279999999999997</v>
      </c>
      <c r="F5" s="5">
        <v>1.24</v>
      </c>
      <c r="G5" s="5">
        <v>1.24</v>
      </c>
      <c r="H5" s="5">
        <v>1.24</v>
      </c>
      <c r="I5" s="5">
        <v>1.24</v>
      </c>
      <c r="J5" s="8"/>
    </row>
    <row r="6" spans="1:34" x14ac:dyDescent="0.15">
      <c r="A6" s="13" t="s">
        <v>25</v>
      </c>
      <c r="B6" s="4" t="s">
        <v>6</v>
      </c>
      <c r="C6" s="43">
        <f t="shared" ref="C6:I6" si="0">C4-(2*C5)</f>
        <v>44.96</v>
      </c>
      <c r="D6" s="5">
        <f t="shared" si="0"/>
        <v>7.8994</v>
      </c>
      <c r="E6" s="22">
        <f t="shared" si="0"/>
        <v>7.8994</v>
      </c>
      <c r="F6" s="5">
        <f t="shared" si="0"/>
        <v>10.219999999999999</v>
      </c>
      <c r="G6" s="5">
        <f>G4-(2*G5)</f>
        <v>10.219999999999999</v>
      </c>
      <c r="H6" s="5">
        <f>H4-(2*H5)</f>
        <v>10.219999999999999</v>
      </c>
      <c r="I6" s="5">
        <f t="shared" si="0"/>
        <v>10.219999999999999</v>
      </c>
      <c r="J6" s="8"/>
    </row>
    <row r="7" spans="1:34" ht="15" x14ac:dyDescent="0.15">
      <c r="A7" s="13" t="s">
        <v>26</v>
      </c>
      <c r="B7" s="4" t="s">
        <v>11</v>
      </c>
      <c r="C7" s="44">
        <f t="shared" ref="C7:I7" si="1">0.25*3.14*(C6^2)</f>
        <v>1586.8002560000002</v>
      </c>
      <c r="D7" s="6">
        <f t="shared" si="1"/>
        <v>48.984408482600003</v>
      </c>
      <c r="E7" s="6">
        <f t="shared" si="1"/>
        <v>48.984408482600003</v>
      </c>
      <c r="F7" s="6">
        <f t="shared" si="1"/>
        <v>81.991993999999991</v>
      </c>
      <c r="G7" s="24">
        <f>0.25*3.14*(G6^2)</f>
        <v>81.991993999999991</v>
      </c>
      <c r="H7" s="24">
        <f>0.25*3.14*(H6^2)</f>
        <v>81.991993999999991</v>
      </c>
      <c r="I7" s="6">
        <f t="shared" si="1"/>
        <v>81.991993999999991</v>
      </c>
      <c r="J7" s="9"/>
    </row>
    <row r="8" spans="1:34" s="40" customFormat="1" x14ac:dyDescent="0.15">
      <c r="A8" s="13" t="s">
        <v>4</v>
      </c>
      <c r="B8" s="4" t="s">
        <v>7</v>
      </c>
      <c r="C8" s="43">
        <f>(D8*D16)+(E8*E16)+(F8*F16)+(G8*G16)+(H8*H16)+(I8*I16)+(J8*J16)+(K8*K16)+(L8*L16)+(M8*M16)+(N8*N16)+(O8*O16)</f>
        <v>152.80000000000001</v>
      </c>
      <c r="D8" s="29">
        <v>2.2999999999999998</v>
      </c>
      <c r="E8" s="29">
        <v>2.2999999999999998</v>
      </c>
      <c r="F8" s="29">
        <v>2</v>
      </c>
      <c r="G8" s="29">
        <v>5</v>
      </c>
      <c r="H8" s="29">
        <v>5</v>
      </c>
      <c r="I8" s="29">
        <v>10</v>
      </c>
      <c r="J8" s="49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</row>
    <row r="9" spans="1:34" x14ac:dyDescent="0.15">
      <c r="A9" s="13" t="s">
        <v>38</v>
      </c>
      <c r="B9" s="4" t="s">
        <v>14</v>
      </c>
      <c r="C9" s="44">
        <f t="shared" ref="C9:I9" si="2">(C8*1000/60)/C7</f>
        <v>1.6049068917384055</v>
      </c>
      <c r="D9" s="5">
        <f t="shared" si="2"/>
        <v>0.78256193186348078</v>
      </c>
      <c r="E9" s="5">
        <f t="shared" si="2"/>
        <v>0.78256193186348078</v>
      </c>
      <c r="F9" s="5">
        <f t="shared" si="2"/>
        <v>0.40654375759337358</v>
      </c>
      <c r="G9" s="5">
        <f>(G8*1000/60)/G7</f>
        <v>1.0163593939834337</v>
      </c>
      <c r="H9" s="5">
        <f>(H8*1000/60)/H7</f>
        <v>1.0163593939834337</v>
      </c>
      <c r="I9" s="5">
        <f t="shared" si="2"/>
        <v>2.0327187879668673</v>
      </c>
      <c r="J9" s="8"/>
    </row>
    <row r="10" spans="1:34" x14ac:dyDescent="0.15">
      <c r="A10" s="13" t="s">
        <v>42</v>
      </c>
      <c r="B10" s="4" t="s">
        <v>43</v>
      </c>
      <c r="C10" s="43">
        <f t="shared" ref="C10:I10" si="3">(C9*(C6/1000))/(1.035*10^-6)</f>
        <v>69716.53512324515</v>
      </c>
      <c r="D10" s="6">
        <f t="shared" si="3"/>
        <v>5972.7243715578552</v>
      </c>
      <c r="E10" s="6">
        <f t="shared" si="3"/>
        <v>5972.7243715578552</v>
      </c>
      <c r="F10" s="6">
        <f t="shared" si="3"/>
        <v>4014.374108796404</v>
      </c>
      <c r="G10" s="6">
        <f t="shared" si="3"/>
        <v>10035.935271991008</v>
      </c>
      <c r="H10" s="6">
        <f t="shared" si="3"/>
        <v>10035.935271991008</v>
      </c>
      <c r="I10" s="6">
        <f t="shared" si="3"/>
        <v>20071.870543982015</v>
      </c>
      <c r="J10" s="8"/>
    </row>
    <row r="11" spans="1:34" s="40" customFormat="1" x14ac:dyDescent="0.15">
      <c r="A11" s="13" t="s">
        <v>72</v>
      </c>
      <c r="B11" s="4" t="s">
        <v>8</v>
      </c>
      <c r="C11" s="44"/>
      <c r="D11" s="38"/>
      <c r="E11" s="38"/>
      <c r="F11" s="38"/>
      <c r="G11" s="38"/>
      <c r="H11" s="38"/>
      <c r="I11" s="38"/>
      <c r="J11" s="50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  <row r="12" spans="1:34" s="40" customFormat="1" x14ac:dyDescent="0.15">
      <c r="A12" s="13" t="s">
        <v>73</v>
      </c>
      <c r="B12" s="4" t="s">
        <v>84</v>
      </c>
      <c r="C12" s="43"/>
      <c r="D12" s="38"/>
      <c r="E12" s="38"/>
      <c r="F12" s="38"/>
      <c r="G12" s="38"/>
      <c r="H12" s="38"/>
      <c r="I12" s="38"/>
      <c r="J12" s="50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</row>
    <row r="13" spans="1:34" x14ac:dyDescent="0.15">
      <c r="A13" s="13" t="s">
        <v>17</v>
      </c>
      <c r="B13" s="4" t="s">
        <v>8</v>
      </c>
      <c r="C13" s="44">
        <f>C18</f>
        <v>27032</v>
      </c>
      <c r="D13" s="6">
        <v>327</v>
      </c>
      <c r="E13" s="6">
        <v>390</v>
      </c>
      <c r="F13" s="6">
        <v>400</v>
      </c>
      <c r="G13" s="6">
        <v>852</v>
      </c>
      <c r="H13" s="6">
        <v>852</v>
      </c>
      <c r="I13" s="6">
        <v>2348</v>
      </c>
      <c r="J13" s="8"/>
    </row>
    <row r="14" spans="1:34" x14ac:dyDescent="0.15">
      <c r="A14" s="13" t="s">
        <v>20</v>
      </c>
      <c r="B14" s="4" t="s">
        <v>5</v>
      </c>
      <c r="C14" s="43">
        <f t="shared" ref="C14:I14" si="4">C13/(C8/60)/4180</f>
        <v>2.5393922693454241</v>
      </c>
      <c r="D14" s="5">
        <f t="shared" si="4"/>
        <v>2.0407738714374872</v>
      </c>
      <c r="E14" s="5">
        <f t="shared" si="4"/>
        <v>2.4339504888703978</v>
      </c>
      <c r="F14" s="5">
        <f t="shared" si="4"/>
        <v>2.8708133971291865</v>
      </c>
      <c r="G14" s="5">
        <f>G13/(G8/60)/4180</f>
        <v>2.445933014354067</v>
      </c>
      <c r="H14" s="5">
        <f>H13/(H8/60)/4180</f>
        <v>2.445933014354067</v>
      </c>
      <c r="I14" s="5">
        <f t="shared" si="4"/>
        <v>3.3703349282296649</v>
      </c>
      <c r="J14" s="8"/>
    </row>
    <row r="15" spans="1:34" x14ac:dyDescent="0.15">
      <c r="A15" s="13"/>
      <c r="B15" s="4"/>
      <c r="C15" s="44"/>
      <c r="D15" s="4"/>
      <c r="E15" s="4"/>
      <c r="F15" s="4"/>
      <c r="G15" s="4"/>
      <c r="H15" s="4"/>
      <c r="I15" s="4"/>
      <c r="J15" s="10"/>
    </row>
    <row r="16" spans="1:34" s="40" customFormat="1" x14ac:dyDescent="0.15">
      <c r="A16" s="13" t="s">
        <v>9</v>
      </c>
      <c r="B16" s="4" t="s">
        <v>10</v>
      </c>
      <c r="C16" s="43">
        <v>1</v>
      </c>
      <c r="D16" s="38">
        <v>24</v>
      </c>
      <c r="E16" s="38">
        <v>12</v>
      </c>
      <c r="F16" s="38">
        <v>0</v>
      </c>
      <c r="G16" s="38">
        <v>4</v>
      </c>
      <c r="H16" s="38">
        <v>2</v>
      </c>
      <c r="I16" s="38">
        <v>4</v>
      </c>
      <c r="J16" s="50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</row>
    <row r="17" spans="1:34" x14ac:dyDescent="0.15">
      <c r="A17" s="13" t="s">
        <v>19</v>
      </c>
      <c r="B17" s="4" t="s">
        <v>7</v>
      </c>
      <c r="C17" s="44">
        <f>SUM(D17:I17)</f>
        <v>152.80000000000001</v>
      </c>
      <c r="D17" s="6">
        <f t="shared" ref="D17:I17" si="5">D8*D16</f>
        <v>55.199999999999996</v>
      </c>
      <c r="E17" s="6">
        <f t="shared" si="5"/>
        <v>27.599999999999998</v>
      </c>
      <c r="F17" s="6">
        <f t="shared" si="5"/>
        <v>0</v>
      </c>
      <c r="G17" s="6">
        <f>G8*G16</f>
        <v>20</v>
      </c>
      <c r="H17" s="6">
        <f>H8*H16</f>
        <v>10</v>
      </c>
      <c r="I17" s="6">
        <f t="shared" si="5"/>
        <v>40</v>
      </c>
      <c r="J17" s="10"/>
    </row>
    <row r="18" spans="1:34" s="40" customFormat="1" x14ac:dyDescent="0.15">
      <c r="A18" s="13" t="s">
        <v>22</v>
      </c>
      <c r="B18" s="4" t="s">
        <v>8</v>
      </c>
      <c r="C18" s="43">
        <f>D18+E18+G18+H18+I18</f>
        <v>27032</v>
      </c>
      <c r="D18" s="38">
        <f>D16*D13</f>
        <v>7848</v>
      </c>
      <c r="E18" s="38">
        <f>E16*E13</f>
        <v>4680</v>
      </c>
      <c r="F18" s="38"/>
      <c r="G18" s="38">
        <f>G16*G13</f>
        <v>3408</v>
      </c>
      <c r="H18" s="38">
        <f>H16*H13</f>
        <v>1704</v>
      </c>
      <c r="I18" s="38">
        <f>I16*I13</f>
        <v>9392</v>
      </c>
      <c r="J18" s="39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</row>
    <row r="19" spans="1:34" x14ac:dyDescent="0.15">
      <c r="A19" s="13" t="s">
        <v>24</v>
      </c>
      <c r="B19" s="4" t="s">
        <v>8</v>
      </c>
      <c r="C19" s="44"/>
      <c r="D19" s="4"/>
      <c r="E19" s="4"/>
      <c r="F19" s="3">
        <f>F16*F13</f>
        <v>0</v>
      </c>
      <c r="G19" s="3"/>
      <c r="H19" s="3"/>
      <c r="I19" s="4"/>
      <c r="J19" s="12"/>
    </row>
    <row r="20" spans="1:34" x14ac:dyDescent="0.15">
      <c r="A20" s="13"/>
      <c r="B20" s="4"/>
      <c r="C20" s="43"/>
      <c r="D20" s="26"/>
      <c r="E20" s="4"/>
      <c r="F20" s="3"/>
      <c r="G20" s="3"/>
      <c r="H20" s="3"/>
      <c r="I20" s="4"/>
      <c r="J20" s="12"/>
    </row>
    <row r="21" spans="1:34" x14ac:dyDescent="0.15">
      <c r="A21" s="13" t="s">
        <v>15</v>
      </c>
      <c r="B21" s="4" t="s">
        <v>0</v>
      </c>
      <c r="C21" s="44"/>
      <c r="D21" s="27" t="s">
        <v>41</v>
      </c>
      <c r="E21" s="25"/>
      <c r="F21" s="4"/>
      <c r="G21" s="4" t="s">
        <v>44</v>
      </c>
      <c r="H21" s="4"/>
      <c r="I21" s="4"/>
      <c r="J21" s="10"/>
    </row>
    <row r="22" spans="1:34" x14ac:dyDescent="0.15">
      <c r="A22" s="12"/>
      <c r="B22" s="10"/>
      <c r="C22" s="10"/>
      <c r="D22" s="10"/>
      <c r="E22" s="10"/>
      <c r="F22" s="12"/>
      <c r="G22" s="12"/>
      <c r="H22" s="12"/>
      <c r="I22" s="10"/>
      <c r="J22" s="12"/>
    </row>
    <row r="24" spans="1:34" x14ac:dyDescent="0.15">
      <c r="A24" s="35" t="s">
        <v>78</v>
      </c>
      <c r="C24" s="48"/>
    </row>
    <row r="25" spans="1:34" x14ac:dyDescent="0.15">
      <c r="A25" s="16" t="s">
        <v>19</v>
      </c>
      <c r="B25" s="17" t="s">
        <v>7</v>
      </c>
      <c r="C25" s="18">
        <f>C8</f>
        <v>152.80000000000001</v>
      </c>
      <c r="D25" s="2"/>
      <c r="E25" s="2"/>
      <c r="I25" s="2"/>
    </row>
    <row r="26" spans="1:34" x14ac:dyDescent="0.15">
      <c r="A26" s="16" t="s">
        <v>23</v>
      </c>
      <c r="B26" s="17" t="s">
        <v>98</v>
      </c>
      <c r="C26" s="18">
        <f>C18/1000</f>
        <v>27.032</v>
      </c>
      <c r="D26" s="2"/>
      <c r="E26" s="2"/>
      <c r="I26" s="2"/>
    </row>
    <row r="27" spans="1:34" x14ac:dyDescent="0.15">
      <c r="A27" s="16" t="s">
        <v>21</v>
      </c>
      <c r="B27" s="17" t="s">
        <v>5</v>
      </c>
      <c r="C27" s="19">
        <f>C26/(C25/60)/4.18</f>
        <v>2.5393922693454245</v>
      </c>
      <c r="D27" s="2"/>
      <c r="E27" s="2"/>
      <c r="I27" s="2"/>
    </row>
  </sheetData>
  <mergeCells count="1">
    <mergeCell ref="B2:I2"/>
  </mergeCells>
  <phoneticPr fontId="7" type="noConversion"/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31"/>
  <sheetViews>
    <sheetView showGridLines="0" topLeftCell="A3" zoomScale="130" zoomScaleNormal="130" workbookViewId="0">
      <selection activeCell="G19" sqref="G19"/>
    </sheetView>
  </sheetViews>
  <sheetFormatPr baseColWidth="10" defaultColWidth="8.83203125" defaultRowHeight="13" x14ac:dyDescent="0.15"/>
  <cols>
    <col min="1" max="1" width="22.6640625" customWidth="1"/>
    <col min="2" max="2" width="7.6640625" customWidth="1"/>
    <col min="3" max="3" width="8.6640625" customWidth="1"/>
    <col min="4" max="6" width="7.6640625" customWidth="1"/>
    <col min="7" max="7" width="9.6640625" customWidth="1"/>
    <col min="8" max="9" width="7.6640625" customWidth="1"/>
    <col min="10" max="10" width="0.1640625" customWidth="1"/>
    <col min="11" max="34" width="8.83203125" style="62"/>
  </cols>
  <sheetData>
    <row r="1" spans="1:34" ht="18" x14ac:dyDescent="0.2">
      <c r="A1" s="20" t="s">
        <v>87</v>
      </c>
      <c r="E1" t="s">
        <v>80</v>
      </c>
    </row>
    <row r="2" spans="1:34" x14ac:dyDescent="0.15">
      <c r="B2" s="119" t="s">
        <v>65</v>
      </c>
      <c r="C2" s="119"/>
      <c r="D2" s="119"/>
      <c r="E2" s="119"/>
      <c r="F2" s="119"/>
      <c r="G2" s="119"/>
      <c r="H2" s="119"/>
      <c r="I2" s="119"/>
      <c r="J2" s="36"/>
      <c r="K2" s="67"/>
      <c r="L2" s="67"/>
      <c r="M2" s="67"/>
      <c r="N2" s="67"/>
      <c r="O2" s="67"/>
    </row>
    <row r="3" spans="1:34" s="1" customFormat="1" ht="70" x14ac:dyDescent="0.15">
      <c r="A3" s="11"/>
      <c r="B3" s="14" t="s">
        <v>3</v>
      </c>
      <c r="C3" s="47" t="s">
        <v>12</v>
      </c>
      <c r="D3" s="14" t="s">
        <v>36</v>
      </c>
      <c r="E3" s="14" t="s">
        <v>37</v>
      </c>
      <c r="F3" s="14" t="s">
        <v>13</v>
      </c>
      <c r="G3" s="23" t="s">
        <v>55</v>
      </c>
      <c r="H3" s="14" t="s">
        <v>57</v>
      </c>
      <c r="I3" s="14" t="s">
        <v>58</v>
      </c>
      <c r="J3" s="7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</row>
    <row r="4" spans="1:34" x14ac:dyDescent="0.15">
      <c r="A4" s="13" t="s">
        <v>1</v>
      </c>
      <c r="B4" s="4" t="s">
        <v>6</v>
      </c>
      <c r="C4" s="43">
        <v>48.26</v>
      </c>
      <c r="D4" s="5">
        <v>9.5250000000000004</v>
      </c>
      <c r="E4" s="113">
        <v>9.5250000000000004</v>
      </c>
      <c r="F4" s="5">
        <v>12.7</v>
      </c>
      <c r="G4" s="5">
        <v>12.7</v>
      </c>
      <c r="H4" s="5">
        <v>12.7</v>
      </c>
      <c r="I4" s="5">
        <v>12.7</v>
      </c>
      <c r="J4" s="8"/>
    </row>
    <row r="5" spans="1:34" x14ac:dyDescent="0.15">
      <c r="A5" s="13" t="s">
        <v>2</v>
      </c>
      <c r="B5" s="4" t="s">
        <v>6</v>
      </c>
      <c r="C5" s="43">
        <v>1.65</v>
      </c>
      <c r="D5" s="5">
        <v>0.81279999999999997</v>
      </c>
      <c r="E5" s="113">
        <v>0.81279999999999997</v>
      </c>
      <c r="F5" s="5">
        <v>1.24</v>
      </c>
      <c r="G5" s="5">
        <v>1.24</v>
      </c>
      <c r="H5" s="5">
        <v>1.24</v>
      </c>
      <c r="I5" s="5">
        <v>1.24</v>
      </c>
      <c r="J5" s="8"/>
    </row>
    <row r="6" spans="1:34" x14ac:dyDescent="0.15">
      <c r="A6" s="13" t="s">
        <v>25</v>
      </c>
      <c r="B6" s="4" t="s">
        <v>6</v>
      </c>
      <c r="C6" s="43">
        <f t="shared" ref="C6:I6" si="0">C4-(2*C5)</f>
        <v>44.96</v>
      </c>
      <c r="D6" s="5">
        <f t="shared" si="0"/>
        <v>7.8994</v>
      </c>
      <c r="E6" s="113">
        <f t="shared" si="0"/>
        <v>7.8994</v>
      </c>
      <c r="F6" s="5">
        <f t="shared" si="0"/>
        <v>10.219999999999999</v>
      </c>
      <c r="G6" s="5">
        <f>G4-(2*G5)</f>
        <v>10.219999999999999</v>
      </c>
      <c r="H6" s="5">
        <f>H4-(2*H5)</f>
        <v>10.219999999999999</v>
      </c>
      <c r="I6" s="5">
        <f t="shared" si="0"/>
        <v>10.219999999999999</v>
      </c>
      <c r="J6" s="8"/>
    </row>
    <row r="7" spans="1:34" ht="15" x14ac:dyDescent="0.15">
      <c r="A7" s="13" t="s">
        <v>26</v>
      </c>
      <c r="B7" s="4" t="s">
        <v>11</v>
      </c>
      <c r="C7" s="44">
        <f t="shared" ref="C7:I7" si="1">0.25*3.14*(C6^2)</f>
        <v>1586.8002560000002</v>
      </c>
      <c r="D7" s="6">
        <f t="shared" si="1"/>
        <v>48.984408482600003</v>
      </c>
      <c r="E7" s="114">
        <f t="shared" si="1"/>
        <v>48.984408482600003</v>
      </c>
      <c r="F7" s="6">
        <f t="shared" si="1"/>
        <v>81.991993999999991</v>
      </c>
      <c r="G7" s="24">
        <f>0.25*3.14*(G6^2)</f>
        <v>81.991993999999991</v>
      </c>
      <c r="H7" s="24">
        <f>0.25*3.14*(H6^2)</f>
        <v>81.991993999999991</v>
      </c>
      <c r="I7" s="6">
        <f t="shared" si="1"/>
        <v>81.991993999999991</v>
      </c>
      <c r="J7" s="9"/>
    </row>
    <row r="8" spans="1:34" s="40" customFormat="1" x14ac:dyDescent="0.15">
      <c r="A8" s="13" t="s">
        <v>4</v>
      </c>
      <c r="B8" s="4" t="s">
        <v>7</v>
      </c>
      <c r="C8" s="44">
        <f>(D8*D16)+(E8*E16)+(F8*F16)+(G8*G16)+(H8*H16)+(I8*I16)+(J8*J16)+(K8*K16)+(L8*L16)+(M8*M16)+(N8*N16)+(O8*O16)</f>
        <v>173.2</v>
      </c>
      <c r="D8" s="32">
        <f>'Present YE2 '!D8</f>
        <v>2.2999999999999998</v>
      </c>
      <c r="E8" s="29">
        <v>4</v>
      </c>
      <c r="F8" s="32">
        <f>'Present YE2 '!F8</f>
        <v>2</v>
      </c>
      <c r="G8" s="32">
        <f>'Present YE2 '!G8</f>
        <v>5</v>
      </c>
      <c r="H8" s="32">
        <f>'Present YE2 '!H8</f>
        <v>5</v>
      </c>
      <c r="I8" s="32">
        <f>'Present YE2 '!I8</f>
        <v>10</v>
      </c>
      <c r="J8" s="49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</row>
    <row r="9" spans="1:34" x14ac:dyDescent="0.15">
      <c r="A9" s="13" t="s">
        <v>38</v>
      </c>
      <c r="B9" s="4" t="s">
        <v>14</v>
      </c>
      <c r="C9" s="44">
        <f t="shared" ref="C9:I9" si="2">(C8*1000/60)/C7</f>
        <v>1.8191745657663079</v>
      </c>
      <c r="D9" s="5">
        <f t="shared" si="2"/>
        <v>0.78256193186348078</v>
      </c>
      <c r="E9" s="115">
        <f t="shared" si="2"/>
        <v>1.3609772728060536</v>
      </c>
      <c r="F9" s="5">
        <f t="shared" si="2"/>
        <v>0.40654375759337358</v>
      </c>
      <c r="G9" s="5">
        <f>(G8*1000/60)/G7</f>
        <v>1.0163593939834337</v>
      </c>
      <c r="H9" s="5">
        <f>(H8*1000/60)/H7</f>
        <v>1.0163593939834337</v>
      </c>
      <c r="I9" s="5">
        <f t="shared" si="2"/>
        <v>2.0327187879668673</v>
      </c>
      <c r="J9" s="8"/>
    </row>
    <row r="10" spans="1:34" x14ac:dyDescent="0.15">
      <c r="A10" s="13" t="s">
        <v>42</v>
      </c>
      <c r="B10" s="4" t="s">
        <v>43</v>
      </c>
      <c r="C10" s="44">
        <f t="shared" ref="C10:I10" si="3">(C9*(C6/1000))/(1.035*10^-6)</f>
        <v>79024.240074254325</v>
      </c>
      <c r="D10" s="6">
        <f t="shared" si="3"/>
        <v>5972.7243715578552</v>
      </c>
      <c r="E10" s="114">
        <f t="shared" si="3"/>
        <v>10387.346733144097</v>
      </c>
      <c r="F10" s="6">
        <f t="shared" si="3"/>
        <v>4014.374108796404</v>
      </c>
      <c r="G10" s="6">
        <f t="shared" si="3"/>
        <v>10035.935271991008</v>
      </c>
      <c r="H10" s="6">
        <f t="shared" si="3"/>
        <v>10035.935271991008</v>
      </c>
      <c r="I10" s="6">
        <f t="shared" si="3"/>
        <v>20071.870543982015</v>
      </c>
      <c r="J10" s="8"/>
    </row>
    <row r="11" spans="1:34" s="40" customFormat="1" x14ac:dyDescent="0.15">
      <c r="A11" s="13" t="s">
        <v>72</v>
      </c>
      <c r="B11" s="4" t="s">
        <v>8</v>
      </c>
      <c r="C11" s="44"/>
      <c r="D11" s="30">
        <f>'Present YE2 '!D11</f>
        <v>0</v>
      </c>
      <c r="E11" s="114">
        <v>260</v>
      </c>
      <c r="F11" s="30">
        <f>'Present YE2 '!F11</f>
        <v>0</v>
      </c>
      <c r="G11" s="30">
        <f>'Present YE2 '!G11</f>
        <v>0</v>
      </c>
      <c r="H11" s="30">
        <f>'Present YE2 '!H11</f>
        <v>0</v>
      </c>
      <c r="I11" s="30">
        <f>'Present YE2 '!I11</f>
        <v>0</v>
      </c>
      <c r="J11" s="50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  <row r="12" spans="1:34" s="40" customFormat="1" x14ac:dyDescent="0.15">
      <c r="A12" s="13" t="s">
        <v>73</v>
      </c>
      <c r="B12" s="4" t="s">
        <v>84</v>
      </c>
      <c r="C12" s="44"/>
      <c r="D12" s="30">
        <f>'Present YE2 '!D12</f>
        <v>0</v>
      </c>
      <c r="E12" s="114">
        <v>3</v>
      </c>
      <c r="F12" s="30">
        <f>'Present YE2 '!F12</f>
        <v>0</v>
      </c>
      <c r="G12" s="30">
        <f>'Present YE2 '!G12</f>
        <v>0</v>
      </c>
      <c r="H12" s="30">
        <f>'Present YE2 '!H12</f>
        <v>0</v>
      </c>
      <c r="I12" s="30">
        <f>'Present YE2 '!I12</f>
        <v>0</v>
      </c>
      <c r="J12" s="50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</row>
    <row r="13" spans="1:34" x14ac:dyDescent="0.15">
      <c r="A13" s="13" t="s">
        <v>17</v>
      </c>
      <c r="B13" s="4" t="s">
        <v>8</v>
      </c>
      <c r="C13" s="44">
        <f>SUMPRODUCT(D13:I13,D16:I16)</f>
        <v>31712</v>
      </c>
      <c r="D13" s="6">
        <v>327</v>
      </c>
      <c r="E13" s="114">
        <v>780</v>
      </c>
      <c r="F13" s="6">
        <v>400</v>
      </c>
      <c r="G13" s="38">
        <v>852</v>
      </c>
      <c r="H13" s="38">
        <v>852</v>
      </c>
      <c r="I13" s="38">
        <v>2348</v>
      </c>
      <c r="J13" s="8"/>
    </row>
    <row r="14" spans="1:34" x14ac:dyDescent="0.15">
      <c r="A14" s="13" t="s">
        <v>20</v>
      </c>
      <c r="B14" s="4" t="s">
        <v>5</v>
      </c>
      <c r="C14" s="44">
        <f t="shared" ref="C14:I14" si="4">C13/(C8/60)/4180</f>
        <v>2.6281534194503688</v>
      </c>
      <c r="D14" s="5">
        <f t="shared" si="4"/>
        <v>2.0407738714374872</v>
      </c>
      <c r="E14" s="115">
        <f>E13/(E8/60)/4180</f>
        <v>2.799043062200957</v>
      </c>
      <c r="F14" s="5">
        <f t="shared" si="4"/>
        <v>2.8708133971291865</v>
      </c>
      <c r="G14" s="5">
        <f>G13/(G8/60)/4180</f>
        <v>2.445933014354067</v>
      </c>
      <c r="H14" s="5">
        <f>H13/(H8/60)/4180</f>
        <v>2.445933014354067</v>
      </c>
      <c r="I14" s="5">
        <f t="shared" si="4"/>
        <v>3.3703349282296649</v>
      </c>
      <c r="J14" s="8"/>
    </row>
    <row r="15" spans="1:34" x14ac:dyDescent="0.15">
      <c r="A15" s="13"/>
      <c r="B15" s="4"/>
      <c r="C15" s="44"/>
      <c r="D15" s="4"/>
      <c r="E15" s="116"/>
      <c r="F15" s="4"/>
      <c r="G15" s="4"/>
      <c r="H15" s="4"/>
      <c r="I15" s="4"/>
      <c r="J15" s="10"/>
    </row>
    <row r="16" spans="1:34" s="40" customFormat="1" x14ac:dyDescent="0.15">
      <c r="A16" s="13" t="s">
        <v>9</v>
      </c>
      <c r="B16" s="4" t="s">
        <v>10</v>
      </c>
      <c r="C16" s="44">
        <v>1</v>
      </c>
      <c r="D16" s="30">
        <v>24</v>
      </c>
      <c r="E16" s="114">
        <v>12</v>
      </c>
      <c r="F16" s="30"/>
      <c r="G16" s="30">
        <v>4</v>
      </c>
      <c r="H16" s="30">
        <v>2</v>
      </c>
      <c r="I16" s="30">
        <v>4</v>
      </c>
      <c r="J16" s="50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</row>
    <row r="17" spans="1:34" x14ac:dyDescent="0.15">
      <c r="A17" s="13" t="s">
        <v>19</v>
      </c>
      <c r="B17" s="4" t="s">
        <v>7</v>
      </c>
      <c r="C17" s="44">
        <f>SUM(D17:I17)</f>
        <v>185.2</v>
      </c>
      <c r="D17" s="30">
        <f t="shared" ref="D17:I17" si="5">D8*D16</f>
        <v>55.199999999999996</v>
      </c>
      <c r="E17" s="114">
        <f t="shared" si="5"/>
        <v>48</v>
      </c>
      <c r="F17" s="30">
        <v>12</v>
      </c>
      <c r="G17" s="30">
        <f>G8*G16</f>
        <v>20</v>
      </c>
      <c r="H17" s="30">
        <f>H8*H16</f>
        <v>10</v>
      </c>
      <c r="I17" s="30">
        <f t="shared" si="5"/>
        <v>40</v>
      </c>
      <c r="J17" s="10"/>
    </row>
    <row r="18" spans="1:34" s="40" customFormat="1" x14ac:dyDescent="0.15">
      <c r="A18" s="13" t="s">
        <v>22</v>
      </c>
      <c r="B18" s="4" t="s">
        <v>8</v>
      </c>
      <c r="C18" s="44">
        <f>SUM(D18:I18)</f>
        <v>31736</v>
      </c>
      <c r="D18" s="30">
        <f>D16*D13</f>
        <v>7848</v>
      </c>
      <c r="E18" s="114">
        <v>9360</v>
      </c>
      <c r="F18" s="30">
        <f>F17*F8</f>
        <v>24</v>
      </c>
      <c r="G18" s="30">
        <f>G16*G13</f>
        <v>3408</v>
      </c>
      <c r="H18" s="30">
        <f>H16*H13</f>
        <v>1704</v>
      </c>
      <c r="I18" s="30">
        <f>I16*I13</f>
        <v>9392</v>
      </c>
      <c r="J18" s="39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</row>
    <row r="19" spans="1:34" x14ac:dyDescent="0.15">
      <c r="A19" s="13" t="s">
        <v>24</v>
      </c>
      <c r="B19" s="4" t="s">
        <v>8</v>
      </c>
      <c r="C19" s="45"/>
      <c r="D19" s="4"/>
      <c r="E19" s="4"/>
      <c r="F19" s="3">
        <f>F16*F13</f>
        <v>0</v>
      </c>
      <c r="G19" s="3"/>
      <c r="H19" s="3"/>
      <c r="I19" s="4"/>
      <c r="J19" s="12"/>
    </row>
    <row r="20" spans="1:34" x14ac:dyDescent="0.15">
      <c r="A20" s="13"/>
      <c r="B20" s="4"/>
      <c r="C20" s="45"/>
      <c r="D20" s="26"/>
      <c r="E20" s="4"/>
      <c r="F20" s="3"/>
      <c r="G20" s="3"/>
      <c r="H20" s="3"/>
      <c r="I20" s="4"/>
      <c r="J20" s="12"/>
    </row>
    <row r="21" spans="1:34" x14ac:dyDescent="0.15">
      <c r="A21" s="13" t="s">
        <v>15</v>
      </c>
      <c r="B21" s="4" t="s">
        <v>0</v>
      </c>
      <c r="C21" s="46"/>
      <c r="D21" s="27" t="s">
        <v>41</v>
      </c>
      <c r="E21" s="25"/>
      <c r="F21" s="4"/>
      <c r="G21" s="4" t="s">
        <v>44</v>
      </c>
      <c r="H21" s="4"/>
      <c r="I21" s="4"/>
      <c r="J21" s="10"/>
    </row>
    <row r="22" spans="1:34" x14ac:dyDescent="0.15">
      <c r="A22" s="12"/>
      <c r="B22" s="10"/>
      <c r="C22" s="10"/>
      <c r="D22" s="10"/>
      <c r="E22" s="10"/>
      <c r="F22" s="12"/>
      <c r="G22" s="12"/>
      <c r="H22" s="12"/>
      <c r="I22" s="10"/>
      <c r="J22" s="12"/>
    </row>
    <row r="24" spans="1:34" x14ac:dyDescent="0.15">
      <c r="A24" s="35" t="s">
        <v>78</v>
      </c>
      <c r="C24" s="48"/>
    </row>
    <row r="25" spans="1:34" x14ac:dyDescent="0.15">
      <c r="A25" s="16" t="s">
        <v>19</v>
      </c>
      <c r="B25" s="17" t="s">
        <v>7</v>
      </c>
      <c r="C25" s="18">
        <f>C8</f>
        <v>173.2</v>
      </c>
      <c r="D25" s="2"/>
      <c r="E25" s="2"/>
      <c r="I25" s="2"/>
    </row>
    <row r="26" spans="1:34" x14ac:dyDescent="0.15">
      <c r="A26" s="16" t="s">
        <v>23</v>
      </c>
      <c r="B26" s="17" t="s">
        <v>8</v>
      </c>
      <c r="C26" s="18">
        <f>C18/1000</f>
        <v>31.736000000000001</v>
      </c>
      <c r="D26" s="2"/>
      <c r="E26" s="2"/>
      <c r="I26" s="2"/>
    </row>
    <row r="27" spans="1:34" x14ac:dyDescent="0.15">
      <c r="A27" s="16" t="s">
        <v>21</v>
      </c>
      <c r="B27" s="17" t="s">
        <v>5</v>
      </c>
      <c r="C27" s="19">
        <f>C26/(C25/60)/4.18</f>
        <v>2.6301424356608512</v>
      </c>
      <c r="D27" s="2"/>
      <c r="E27" s="2"/>
      <c r="I27" s="2"/>
    </row>
    <row r="29" spans="1:34" x14ac:dyDescent="0.15">
      <c r="A29" s="52"/>
      <c r="B29" s="52"/>
      <c r="C29" s="52"/>
    </row>
    <row r="30" spans="1:34" x14ac:dyDescent="0.15">
      <c r="A30" s="52"/>
      <c r="B30" s="52"/>
      <c r="C30" s="52"/>
    </row>
    <row r="31" spans="1:34" x14ac:dyDescent="0.15">
      <c r="A31" s="52"/>
      <c r="B31" s="52"/>
      <c r="C31" s="52"/>
    </row>
  </sheetData>
  <mergeCells count="1">
    <mergeCell ref="B2:I2"/>
  </mergeCells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3E474-E339-1644-A2A4-738643316265}">
  <dimension ref="A1:AH31"/>
  <sheetViews>
    <sheetView showGridLines="0" zoomScale="130" zoomScaleNormal="130" workbookViewId="0">
      <selection activeCell="G19" sqref="G19"/>
    </sheetView>
  </sheetViews>
  <sheetFormatPr baseColWidth="10" defaultColWidth="8.83203125" defaultRowHeight="13" x14ac:dyDescent="0.15"/>
  <cols>
    <col min="1" max="1" width="22.6640625" customWidth="1"/>
    <col min="2" max="2" width="7.6640625" customWidth="1"/>
    <col min="3" max="3" width="8.6640625" customWidth="1"/>
    <col min="4" max="6" width="7.6640625" customWidth="1"/>
    <col min="7" max="7" width="9.6640625" customWidth="1"/>
    <col min="8" max="9" width="7.6640625" customWidth="1"/>
    <col min="10" max="10" width="0.1640625" customWidth="1"/>
    <col min="11" max="34" width="8.83203125" style="62"/>
  </cols>
  <sheetData>
    <row r="1" spans="1:34" ht="18" x14ac:dyDescent="0.2">
      <c r="A1" s="20" t="s">
        <v>87</v>
      </c>
      <c r="E1" t="s">
        <v>80</v>
      </c>
    </row>
    <row r="2" spans="1:34" ht="42" x14ac:dyDescent="0.15">
      <c r="A2" s="68" t="s">
        <v>104</v>
      </c>
      <c r="B2" s="119" t="s">
        <v>65</v>
      </c>
      <c r="C2" s="119"/>
      <c r="D2" s="119"/>
      <c r="E2" s="119"/>
      <c r="F2" s="119"/>
      <c r="G2" s="119"/>
      <c r="H2" s="119"/>
      <c r="I2" s="119"/>
      <c r="J2" s="36"/>
      <c r="K2" s="67"/>
      <c r="L2" s="67"/>
      <c r="M2" s="67"/>
      <c r="N2" s="67"/>
      <c r="O2" s="67"/>
    </row>
    <row r="3" spans="1:34" s="1" customFormat="1" ht="70" x14ac:dyDescent="0.15">
      <c r="A3" s="11"/>
      <c r="B3" s="14" t="s">
        <v>3</v>
      </c>
      <c r="C3" s="47" t="s">
        <v>12</v>
      </c>
      <c r="D3" s="14" t="s">
        <v>36</v>
      </c>
      <c r="E3" s="14" t="s">
        <v>37</v>
      </c>
      <c r="F3" s="14" t="s">
        <v>13</v>
      </c>
      <c r="G3" s="23" t="s">
        <v>55</v>
      </c>
      <c r="H3" s="14" t="s">
        <v>57</v>
      </c>
      <c r="I3" s="14" t="s">
        <v>58</v>
      </c>
      <c r="J3" s="7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</row>
    <row r="4" spans="1:34" x14ac:dyDescent="0.15">
      <c r="A4" s="13" t="s">
        <v>1</v>
      </c>
      <c r="B4" s="4" t="s">
        <v>6</v>
      </c>
      <c r="C4" s="43">
        <v>48.26</v>
      </c>
      <c r="D4" s="5">
        <v>9.5250000000000004</v>
      </c>
      <c r="E4" s="113">
        <v>9.5250000000000004</v>
      </c>
      <c r="F4" s="5">
        <v>12.7</v>
      </c>
      <c r="G4" s="5">
        <v>12.7</v>
      </c>
      <c r="H4" s="5">
        <v>12.7</v>
      </c>
      <c r="I4" s="5">
        <v>12.7</v>
      </c>
      <c r="J4" s="8"/>
    </row>
    <row r="5" spans="1:34" x14ac:dyDescent="0.15">
      <c r="A5" s="13" t="s">
        <v>2</v>
      </c>
      <c r="B5" s="4" t="s">
        <v>6</v>
      </c>
      <c r="C5" s="43">
        <v>1.65</v>
      </c>
      <c r="D5" s="5">
        <v>0.81279999999999997</v>
      </c>
      <c r="E5" s="113">
        <v>0.81279999999999997</v>
      </c>
      <c r="F5" s="5">
        <v>1.24</v>
      </c>
      <c r="G5" s="5">
        <v>1.24</v>
      </c>
      <c r="H5" s="5">
        <v>1.24</v>
      </c>
      <c r="I5" s="5">
        <v>1.24</v>
      </c>
      <c r="J5" s="8"/>
    </row>
    <row r="6" spans="1:34" x14ac:dyDescent="0.15">
      <c r="A6" s="13" t="s">
        <v>25</v>
      </c>
      <c r="B6" s="4" t="s">
        <v>6</v>
      </c>
      <c r="C6" s="43">
        <f t="shared" ref="C6:I6" si="0">C4-(2*C5)</f>
        <v>44.96</v>
      </c>
      <c r="D6" s="5">
        <f t="shared" si="0"/>
        <v>7.8994</v>
      </c>
      <c r="E6" s="113">
        <f t="shared" si="0"/>
        <v>7.8994</v>
      </c>
      <c r="F6" s="5">
        <f t="shared" si="0"/>
        <v>10.219999999999999</v>
      </c>
      <c r="G6" s="5">
        <f>G4-(2*G5)</f>
        <v>10.219999999999999</v>
      </c>
      <c r="H6" s="5">
        <f>H4-(2*H5)</f>
        <v>10.219999999999999</v>
      </c>
      <c r="I6" s="5">
        <f t="shared" si="0"/>
        <v>10.219999999999999</v>
      </c>
      <c r="J6" s="8"/>
    </row>
    <row r="7" spans="1:34" ht="15" x14ac:dyDescent="0.15">
      <c r="A7" s="13" t="s">
        <v>26</v>
      </c>
      <c r="B7" s="4" t="s">
        <v>11</v>
      </c>
      <c r="C7" s="44">
        <f t="shared" ref="C7:I7" si="1">0.25*3.14*(C6^2)</f>
        <v>1586.8002560000002</v>
      </c>
      <c r="D7" s="6">
        <f t="shared" si="1"/>
        <v>48.984408482600003</v>
      </c>
      <c r="E7" s="114">
        <f t="shared" si="1"/>
        <v>48.984408482600003</v>
      </c>
      <c r="F7" s="6">
        <f t="shared" si="1"/>
        <v>81.991993999999991</v>
      </c>
      <c r="G7" s="24">
        <f>0.25*3.14*(G6^2)</f>
        <v>81.991993999999991</v>
      </c>
      <c r="H7" s="24">
        <f>0.25*3.14*(H6^2)</f>
        <v>81.991993999999991</v>
      </c>
      <c r="I7" s="6">
        <f t="shared" si="1"/>
        <v>81.991993999999991</v>
      </c>
      <c r="J7" s="9"/>
    </row>
    <row r="8" spans="1:34" s="40" customFormat="1" x14ac:dyDescent="0.15">
      <c r="A8" s="13" t="s">
        <v>4</v>
      </c>
      <c r="B8" s="4" t="s">
        <v>7</v>
      </c>
      <c r="C8" s="44">
        <f>(D8*D16)+(E8*E16)+(F8*F16)+(G8*G16)+(H8*H16)+(I8*I16)+(J8*J16)+(K8*K16)+(L8*L16)+(M8*M16)+(N8*N16)+(O8*O16)</f>
        <v>173.2</v>
      </c>
      <c r="D8" s="32">
        <f>'Present YE2 '!D8</f>
        <v>2.2999999999999998</v>
      </c>
      <c r="E8" s="29">
        <v>4</v>
      </c>
      <c r="F8" s="32">
        <f>'Present YE2 '!F8</f>
        <v>2</v>
      </c>
      <c r="G8" s="32">
        <f>'Present YE2 '!G8</f>
        <v>5</v>
      </c>
      <c r="H8" s="32">
        <f>'Present YE2 '!H8</f>
        <v>5</v>
      </c>
      <c r="I8" s="32">
        <f>'Present YE2 '!I8</f>
        <v>10</v>
      </c>
      <c r="J8" s="49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</row>
    <row r="9" spans="1:34" x14ac:dyDescent="0.15">
      <c r="A9" s="13" t="s">
        <v>38</v>
      </c>
      <c r="B9" s="4" t="s">
        <v>14</v>
      </c>
      <c r="C9" s="44">
        <f t="shared" ref="C9:I9" si="2">(C8*1000/60)/C7</f>
        <v>1.8191745657663079</v>
      </c>
      <c r="D9" s="5">
        <f t="shared" si="2"/>
        <v>0.78256193186348078</v>
      </c>
      <c r="E9" s="115">
        <f t="shared" si="2"/>
        <v>1.3609772728060536</v>
      </c>
      <c r="F9" s="5">
        <f t="shared" si="2"/>
        <v>0.40654375759337358</v>
      </c>
      <c r="G9" s="5">
        <f>(G8*1000/60)/G7</f>
        <v>1.0163593939834337</v>
      </c>
      <c r="H9" s="5">
        <f>(H8*1000/60)/H7</f>
        <v>1.0163593939834337</v>
      </c>
      <c r="I9" s="5">
        <f t="shared" si="2"/>
        <v>2.0327187879668673</v>
      </c>
      <c r="J9" s="8"/>
    </row>
    <row r="10" spans="1:34" x14ac:dyDescent="0.15">
      <c r="A10" s="13" t="s">
        <v>42</v>
      </c>
      <c r="B10" s="4" t="s">
        <v>43</v>
      </c>
      <c r="C10" s="44">
        <f t="shared" ref="C10:I10" si="3">(C9*(C6/1000))/(1.035*10^-6)</f>
        <v>79024.240074254325</v>
      </c>
      <c r="D10" s="6">
        <f t="shared" si="3"/>
        <v>5972.7243715578552</v>
      </c>
      <c r="E10" s="114">
        <f t="shared" si="3"/>
        <v>10387.346733144097</v>
      </c>
      <c r="F10" s="6">
        <f t="shared" si="3"/>
        <v>4014.374108796404</v>
      </c>
      <c r="G10" s="6">
        <f t="shared" si="3"/>
        <v>10035.935271991008</v>
      </c>
      <c r="H10" s="6">
        <f t="shared" si="3"/>
        <v>10035.935271991008</v>
      </c>
      <c r="I10" s="6">
        <f t="shared" si="3"/>
        <v>20071.870543982015</v>
      </c>
      <c r="J10" s="8"/>
    </row>
    <row r="11" spans="1:34" s="40" customFormat="1" x14ac:dyDescent="0.15">
      <c r="A11" s="13" t="s">
        <v>72</v>
      </c>
      <c r="B11" s="4" t="s">
        <v>8</v>
      </c>
      <c r="C11" s="44"/>
      <c r="D11" s="30">
        <f>'Present YE2 '!D11</f>
        <v>0</v>
      </c>
      <c r="E11" s="114">
        <v>260</v>
      </c>
      <c r="F11" s="30">
        <f>'Present YE2 '!F11</f>
        <v>0</v>
      </c>
      <c r="G11" s="30">
        <f>'Present YE2 '!G11</f>
        <v>0</v>
      </c>
      <c r="H11" s="30">
        <f>'Present YE2 '!H11</f>
        <v>0</v>
      </c>
      <c r="I11" s="30">
        <f>'Present YE2 '!I11</f>
        <v>0</v>
      </c>
      <c r="J11" s="50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  <row r="12" spans="1:34" s="40" customFormat="1" x14ac:dyDescent="0.15">
      <c r="A12" s="13" t="s">
        <v>73</v>
      </c>
      <c r="B12" s="4" t="s">
        <v>84</v>
      </c>
      <c r="C12" s="44"/>
      <c r="D12" s="30">
        <f>'Present YE2 '!D12</f>
        <v>0</v>
      </c>
      <c r="E12" s="114">
        <v>3</v>
      </c>
      <c r="F12" s="30">
        <f>'Present YE2 '!F12</f>
        <v>0</v>
      </c>
      <c r="G12" s="30">
        <f>'Present YE2 '!G12</f>
        <v>0</v>
      </c>
      <c r="H12" s="30">
        <f>'Present YE2 '!H12</f>
        <v>0</v>
      </c>
      <c r="I12" s="30">
        <f>'Present YE2 '!I12</f>
        <v>0</v>
      </c>
      <c r="J12" s="50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</row>
    <row r="13" spans="1:34" x14ac:dyDescent="0.15">
      <c r="A13" s="13" t="s">
        <v>17</v>
      </c>
      <c r="B13" s="4" t="s">
        <v>8</v>
      </c>
      <c r="C13" s="44">
        <f>SUMPRODUCT(D13:I13,D16:I16)</f>
        <v>31712</v>
      </c>
      <c r="D13" s="6">
        <v>327</v>
      </c>
      <c r="E13" s="114">
        <v>780</v>
      </c>
      <c r="F13" s="6">
        <v>400</v>
      </c>
      <c r="G13" s="38">
        <v>852</v>
      </c>
      <c r="H13" s="38">
        <v>852</v>
      </c>
      <c r="I13" s="38">
        <v>2348</v>
      </c>
      <c r="J13" s="8"/>
    </row>
    <row r="14" spans="1:34" x14ac:dyDescent="0.15">
      <c r="A14" s="13" t="s">
        <v>20</v>
      </c>
      <c r="B14" s="4" t="s">
        <v>5</v>
      </c>
      <c r="C14" s="44">
        <f t="shared" ref="C14:I14" si="4">C13/(C8/60)/4180</f>
        <v>2.6281534194503688</v>
      </c>
      <c r="D14" s="5">
        <f t="shared" si="4"/>
        <v>2.0407738714374872</v>
      </c>
      <c r="E14" s="115">
        <f>E13/(E8/60)/4180</f>
        <v>2.799043062200957</v>
      </c>
      <c r="F14" s="5">
        <f t="shared" si="4"/>
        <v>2.8708133971291865</v>
      </c>
      <c r="G14" s="5">
        <f>G13/(G8/60)/4180</f>
        <v>2.445933014354067</v>
      </c>
      <c r="H14" s="5">
        <f>H13/(H8/60)/4180</f>
        <v>2.445933014354067</v>
      </c>
      <c r="I14" s="5">
        <f t="shared" si="4"/>
        <v>3.3703349282296649</v>
      </c>
      <c r="J14" s="8"/>
    </row>
    <row r="15" spans="1:34" x14ac:dyDescent="0.15">
      <c r="A15" s="13"/>
      <c r="B15" s="4"/>
      <c r="C15" s="44"/>
      <c r="D15" s="4"/>
      <c r="E15" s="116"/>
      <c r="F15" s="4"/>
      <c r="G15" s="4"/>
      <c r="H15" s="4"/>
      <c r="I15" s="4"/>
      <c r="J15" s="10"/>
    </row>
    <row r="16" spans="1:34" s="40" customFormat="1" x14ac:dyDescent="0.15">
      <c r="A16" s="13" t="s">
        <v>9</v>
      </c>
      <c r="B16" s="4" t="s">
        <v>10</v>
      </c>
      <c r="C16" s="44">
        <v>1</v>
      </c>
      <c r="D16" s="30">
        <v>24</v>
      </c>
      <c r="E16" s="114">
        <v>12</v>
      </c>
      <c r="F16" s="30"/>
      <c r="G16" s="30">
        <v>4</v>
      </c>
      <c r="H16" s="30">
        <v>2</v>
      </c>
      <c r="I16" s="30">
        <v>4</v>
      </c>
      <c r="J16" s="50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</row>
    <row r="17" spans="1:34" x14ac:dyDescent="0.15">
      <c r="A17" s="13" t="s">
        <v>19</v>
      </c>
      <c r="B17" s="4" t="s">
        <v>7</v>
      </c>
      <c r="C17" s="44">
        <f>SUM(D17:I17)</f>
        <v>185.2</v>
      </c>
      <c r="D17" s="30">
        <f t="shared" ref="D17:I17" si="5">D8*D16</f>
        <v>55.199999999999996</v>
      </c>
      <c r="E17" s="114">
        <f t="shared" si="5"/>
        <v>48</v>
      </c>
      <c r="F17" s="30">
        <v>12</v>
      </c>
      <c r="G17" s="30">
        <f>G8*G16</f>
        <v>20</v>
      </c>
      <c r="H17" s="30">
        <f>H8*H16</f>
        <v>10</v>
      </c>
      <c r="I17" s="30">
        <f t="shared" si="5"/>
        <v>40</v>
      </c>
      <c r="J17" s="10"/>
    </row>
    <row r="18" spans="1:34" s="40" customFormat="1" x14ac:dyDescent="0.15">
      <c r="A18" s="13" t="s">
        <v>22</v>
      </c>
      <c r="B18" s="4" t="s">
        <v>8</v>
      </c>
      <c r="C18" s="44">
        <f>SUM(D18:I18)</f>
        <v>31736</v>
      </c>
      <c r="D18" s="30">
        <f>D16*D13</f>
        <v>7848</v>
      </c>
      <c r="E18" s="114">
        <v>9360</v>
      </c>
      <c r="F18" s="30">
        <f>F17*F8</f>
        <v>24</v>
      </c>
      <c r="G18" s="30">
        <f>G16*G13</f>
        <v>3408</v>
      </c>
      <c r="H18" s="30">
        <f>H16*H13</f>
        <v>1704</v>
      </c>
      <c r="I18" s="30">
        <f>I16*I13</f>
        <v>9392</v>
      </c>
      <c r="J18" s="39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</row>
    <row r="19" spans="1:34" x14ac:dyDescent="0.15">
      <c r="A19" s="13" t="s">
        <v>24</v>
      </c>
      <c r="B19" s="4" t="s">
        <v>8</v>
      </c>
      <c r="C19" s="45"/>
      <c r="D19" s="4"/>
      <c r="E19" s="4"/>
      <c r="F19" s="3">
        <f>F16*F13</f>
        <v>0</v>
      </c>
      <c r="G19" s="3"/>
      <c r="H19" s="3"/>
      <c r="I19" s="4"/>
      <c r="J19" s="12"/>
    </row>
    <row r="20" spans="1:34" x14ac:dyDescent="0.15">
      <c r="A20" s="13"/>
      <c r="B20" s="4"/>
      <c r="C20" s="45"/>
      <c r="D20" s="26"/>
      <c r="E20" s="4"/>
      <c r="F20" s="3"/>
      <c r="G20" s="3"/>
      <c r="H20" s="3"/>
      <c r="I20" s="4"/>
      <c r="J20" s="12"/>
    </row>
    <row r="21" spans="1:34" x14ac:dyDescent="0.15">
      <c r="A21" s="13" t="s">
        <v>15</v>
      </c>
      <c r="B21" s="4" t="s">
        <v>0</v>
      </c>
      <c r="C21" s="46"/>
      <c r="D21" s="27" t="s">
        <v>41</v>
      </c>
      <c r="E21" s="25"/>
      <c r="F21" s="4"/>
      <c r="G21" s="4" t="s">
        <v>44</v>
      </c>
      <c r="H21" s="4"/>
      <c r="I21" s="4"/>
      <c r="J21" s="10"/>
    </row>
    <row r="22" spans="1:34" x14ac:dyDescent="0.15">
      <c r="A22" s="12"/>
      <c r="B22" s="10"/>
      <c r="C22" s="10"/>
      <c r="D22" s="10"/>
      <c r="E22" s="10"/>
      <c r="F22" s="12"/>
      <c r="G22" s="12"/>
      <c r="H22" s="12"/>
      <c r="I22" s="10"/>
      <c r="J22" s="12"/>
    </row>
    <row r="24" spans="1:34" x14ac:dyDescent="0.15">
      <c r="A24" s="35" t="s">
        <v>78</v>
      </c>
      <c r="C24" s="48"/>
    </row>
    <row r="25" spans="1:34" x14ac:dyDescent="0.15">
      <c r="A25" s="16" t="s">
        <v>19</v>
      </c>
      <c r="B25" s="17" t="s">
        <v>7</v>
      </c>
      <c r="C25" s="18">
        <f>C8</f>
        <v>173.2</v>
      </c>
      <c r="D25" s="2"/>
      <c r="E25" s="2"/>
      <c r="I25" s="2"/>
    </row>
    <row r="26" spans="1:34" x14ac:dyDescent="0.15">
      <c r="A26" s="16" t="s">
        <v>23</v>
      </c>
      <c r="B26" s="17" t="s">
        <v>98</v>
      </c>
      <c r="C26" s="18">
        <f>C18/1000</f>
        <v>31.736000000000001</v>
      </c>
      <c r="D26" s="2"/>
      <c r="E26" s="2"/>
      <c r="I26" s="2"/>
    </row>
    <row r="27" spans="1:34" x14ac:dyDescent="0.15">
      <c r="A27" s="16" t="s">
        <v>21</v>
      </c>
      <c r="B27" s="17" t="s">
        <v>5</v>
      </c>
      <c r="C27" s="19">
        <f>C26/(C25/60)/4.18</f>
        <v>2.6301424356608512</v>
      </c>
      <c r="D27" s="2"/>
      <c r="E27" s="2"/>
      <c r="I27" s="2"/>
    </row>
    <row r="29" spans="1:34" x14ac:dyDescent="0.15">
      <c r="A29" s="52"/>
      <c r="B29" s="52"/>
      <c r="C29" s="52"/>
    </row>
    <row r="30" spans="1:34" x14ac:dyDescent="0.15">
      <c r="A30" s="52"/>
      <c r="B30" s="52"/>
      <c r="C30" s="52"/>
    </row>
    <row r="31" spans="1:34" x14ac:dyDescent="0.15">
      <c r="A31" s="52"/>
      <c r="B31" s="52"/>
      <c r="C31" s="52"/>
    </row>
  </sheetData>
  <mergeCells count="1">
    <mergeCell ref="B2:I2"/>
  </mergeCells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31"/>
  <sheetViews>
    <sheetView showGridLines="0" zoomScale="130" zoomScaleNormal="130" workbookViewId="0">
      <selection activeCell="G19" sqref="G19"/>
    </sheetView>
  </sheetViews>
  <sheetFormatPr baseColWidth="10" defaultColWidth="8.83203125" defaultRowHeight="13" x14ac:dyDescent="0.15"/>
  <cols>
    <col min="1" max="1" width="22.6640625" customWidth="1"/>
    <col min="2" max="2" width="7.6640625" customWidth="1"/>
    <col min="3" max="3" width="8.6640625" customWidth="1"/>
    <col min="4" max="8" width="7.6640625" customWidth="1"/>
    <col min="9" max="9" width="8.6640625" customWidth="1"/>
    <col min="10" max="10" width="7.6640625" customWidth="1"/>
    <col min="11" max="11" width="9" customWidth="1"/>
    <col min="12" max="52" width="8.83203125" style="60"/>
  </cols>
  <sheetData>
    <row r="1" spans="1:52" ht="18" x14ac:dyDescent="0.2">
      <c r="A1" s="20" t="s">
        <v>32</v>
      </c>
    </row>
    <row r="2" spans="1:52" x14ac:dyDescent="0.15">
      <c r="B2" s="119" t="s">
        <v>65</v>
      </c>
      <c r="C2" s="119"/>
      <c r="D2" s="119"/>
      <c r="E2" s="119"/>
      <c r="F2" s="119"/>
      <c r="G2" s="119"/>
      <c r="H2" s="119"/>
      <c r="I2" s="119"/>
      <c r="J2" s="119"/>
      <c r="K2" s="119"/>
    </row>
    <row r="3" spans="1:52" ht="70" x14ac:dyDescent="0.15">
      <c r="A3" s="11"/>
      <c r="B3" s="14" t="s">
        <v>3</v>
      </c>
      <c r="C3" s="47" t="s">
        <v>33</v>
      </c>
      <c r="D3" s="14" t="s">
        <v>39</v>
      </c>
      <c r="E3" s="14" t="s">
        <v>40</v>
      </c>
      <c r="F3" s="14" t="s">
        <v>34</v>
      </c>
      <c r="G3" s="14" t="s">
        <v>63</v>
      </c>
      <c r="H3" s="14" t="s">
        <v>13</v>
      </c>
      <c r="I3" s="15" t="s">
        <v>56</v>
      </c>
      <c r="J3" s="14" t="s">
        <v>57</v>
      </c>
      <c r="K3" s="14" t="s">
        <v>58</v>
      </c>
    </row>
    <row r="4" spans="1:52" x14ac:dyDescent="0.15">
      <c r="A4" s="13" t="s">
        <v>1</v>
      </c>
      <c r="B4" s="4" t="s">
        <v>6</v>
      </c>
      <c r="C4" s="43">
        <v>48.26</v>
      </c>
      <c r="D4" s="5">
        <v>9.5250000000000004</v>
      </c>
      <c r="E4" s="5">
        <v>9.5250000000000004</v>
      </c>
      <c r="F4" s="5">
        <v>8</v>
      </c>
      <c r="G4" s="5">
        <v>8</v>
      </c>
      <c r="H4" s="5">
        <v>12.7</v>
      </c>
      <c r="I4" s="5">
        <v>12.7</v>
      </c>
      <c r="J4" s="5">
        <v>12.7</v>
      </c>
      <c r="K4" s="5">
        <v>12.7</v>
      </c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52" x14ac:dyDescent="0.15">
      <c r="A5" s="13" t="s">
        <v>2</v>
      </c>
      <c r="B5" s="4" t="s">
        <v>6</v>
      </c>
      <c r="C5" s="43">
        <v>1.65</v>
      </c>
      <c r="D5" s="5">
        <v>0.81279999999999997</v>
      </c>
      <c r="E5" s="5">
        <v>0.81279999999999997</v>
      </c>
      <c r="F5" s="5">
        <v>1</v>
      </c>
      <c r="G5" s="5">
        <v>1</v>
      </c>
      <c r="H5" s="5">
        <v>1.24</v>
      </c>
      <c r="I5" s="5">
        <v>1.24</v>
      </c>
      <c r="J5" s="5">
        <v>1.24</v>
      </c>
      <c r="K5" s="5">
        <v>1.24</v>
      </c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52" x14ac:dyDescent="0.15">
      <c r="A6" s="13" t="s">
        <v>25</v>
      </c>
      <c r="B6" s="4" t="s">
        <v>6</v>
      </c>
      <c r="C6" s="43">
        <f t="shared" ref="C6:I6" si="0">C4-(2*C5)</f>
        <v>44.96</v>
      </c>
      <c r="D6" s="5">
        <f t="shared" si="0"/>
        <v>7.8994</v>
      </c>
      <c r="E6" s="5">
        <f t="shared" si="0"/>
        <v>7.8994</v>
      </c>
      <c r="F6" s="5">
        <f t="shared" si="0"/>
        <v>6</v>
      </c>
      <c r="G6" s="5">
        <f>G4-(2*G5)</f>
        <v>6</v>
      </c>
      <c r="H6" s="5">
        <f t="shared" si="0"/>
        <v>10.219999999999999</v>
      </c>
      <c r="I6" s="5">
        <f t="shared" si="0"/>
        <v>10.219999999999999</v>
      </c>
      <c r="J6" s="5">
        <f>J4-(2*J5)</f>
        <v>10.219999999999999</v>
      </c>
      <c r="K6" s="5">
        <f>K4-(2*K5)</f>
        <v>10.219999999999999</v>
      </c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52" ht="15" x14ac:dyDescent="0.15">
      <c r="A7" s="13" t="s">
        <v>26</v>
      </c>
      <c r="B7" s="4" t="s">
        <v>11</v>
      </c>
      <c r="C7" s="44">
        <f t="shared" ref="C7:I7" si="1">0.25*3.14*(C6^2)</f>
        <v>1586.8002560000002</v>
      </c>
      <c r="D7" s="6">
        <f t="shared" si="1"/>
        <v>48.984408482600003</v>
      </c>
      <c r="E7" s="6">
        <f t="shared" si="1"/>
        <v>48.984408482600003</v>
      </c>
      <c r="F7" s="6">
        <f t="shared" si="1"/>
        <v>28.26</v>
      </c>
      <c r="G7" s="6">
        <f>0.25*3.14*(G6^2)</f>
        <v>28.26</v>
      </c>
      <c r="H7" s="6">
        <f t="shared" si="1"/>
        <v>81.991993999999991</v>
      </c>
      <c r="I7" s="6">
        <f t="shared" si="1"/>
        <v>81.991993999999991</v>
      </c>
      <c r="J7" s="6">
        <f>0.25*3.14*(J6^2)</f>
        <v>81.991993999999991</v>
      </c>
      <c r="K7" s="6">
        <f>0.25*3.14*(K6^2)</f>
        <v>81.991993999999991</v>
      </c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52" s="40" customFormat="1" x14ac:dyDescent="0.15">
      <c r="A8" s="13" t="s">
        <v>4</v>
      </c>
      <c r="B8" s="4" t="s">
        <v>7</v>
      </c>
      <c r="C8" s="44">
        <f>(D8*D16)+(E8*E16)+(F8*F16)+(G8*G16)+(H8*H16)+(I8*I16)+(J8*J16)+(K8*K16)+(L8*L16)+(M8*M16)+(N8*N16)+(O8*O16)</f>
        <v>198.8</v>
      </c>
      <c r="D8" s="29">
        <v>2.2999999999999998</v>
      </c>
      <c r="E8" s="29">
        <v>2.2999999999999998</v>
      </c>
      <c r="F8" s="29">
        <v>2</v>
      </c>
      <c r="G8" s="29">
        <v>2</v>
      </c>
      <c r="H8" s="29">
        <v>2</v>
      </c>
      <c r="I8" s="29">
        <v>4.7</v>
      </c>
      <c r="J8" s="29">
        <v>4.7</v>
      </c>
      <c r="K8" s="29">
        <v>9.5</v>
      </c>
      <c r="L8" s="60"/>
      <c r="M8" s="69"/>
      <c r="N8" s="69"/>
      <c r="O8" s="69"/>
      <c r="P8" s="69"/>
      <c r="Q8" s="69"/>
      <c r="R8" s="69"/>
      <c r="S8" s="69"/>
      <c r="T8" s="69"/>
      <c r="U8" s="69"/>
      <c r="V8" s="69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</row>
    <row r="9" spans="1:52" x14ac:dyDescent="0.15">
      <c r="A9" s="13" t="s">
        <v>38</v>
      </c>
      <c r="B9" s="4" t="s">
        <v>14</v>
      </c>
      <c r="C9" s="44">
        <f t="shared" ref="C9:I9" si="2">(C8*1000/60)/C7</f>
        <v>2.0880594900366169</v>
      </c>
      <c r="D9" s="5">
        <f t="shared" si="2"/>
        <v>0.78256193186348078</v>
      </c>
      <c r="E9" s="31">
        <f t="shared" si="2"/>
        <v>0.78256193186348078</v>
      </c>
      <c r="F9" s="5">
        <f t="shared" si="2"/>
        <v>1.1795234725171031</v>
      </c>
      <c r="G9" s="5">
        <f>(G8*1000/60)/G7</f>
        <v>1.1795234725171031</v>
      </c>
      <c r="H9" s="5">
        <f t="shared" si="2"/>
        <v>0.40654375759337358</v>
      </c>
      <c r="I9" s="5">
        <f t="shared" si="2"/>
        <v>0.95537783034442769</v>
      </c>
      <c r="J9" s="5">
        <f>(J8*1000/60)/J7</f>
        <v>0.95537783034442769</v>
      </c>
      <c r="K9" s="5">
        <f>(K8*1000/60)/K7</f>
        <v>1.9310828485685243</v>
      </c>
      <c r="M9" s="69"/>
      <c r="N9" s="69"/>
      <c r="O9" s="69"/>
      <c r="P9" s="69"/>
      <c r="Q9" s="69"/>
      <c r="R9" s="69"/>
      <c r="S9" s="69"/>
      <c r="T9" s="69"/>
      <c r="U9" s="69"/>
      <c r="V9" s="69"/>
    </row>
    <row r="10" spans="1:52" x14ac:dyDescent="0.15">
      <c r="A10" s="13" t="s">
        <v>42</v>
      </c>
      <c r="B10" s="4" t="s">
        <v>43</v>
      </c>
      <c r="C10" s="44">
        <f t="shared" ref="C10:I10" si="3">(C9*(C6/1000))/(1.035*10^-6)</f>
        <v>90704.497267677594</v>
      </c>
      <c r="D10" s="6">
        <f t="shared" si="3"/>
        <v>5972.7243715578552</v>
      </c>
      <c r="E10" s="30">
        <f t="shared" si="3"/>
        <v>5972.7243715578552</v>
      </c>
      <c r="F10" s="6">
        <f t="shared" si="3"/>
        <v>6837.8172319832074</v>
      </c>
      <c r="G10" s="6">
        <f>(G9*(G6/1000))/(1.035*10^-6)</f>
        <v>6837.8172319832074</v>
      </c>
      <c r="H10" s="6">
        <f t="shared" si="3"/>
        <v>4014.374108796404</v>
      </c>
      <c r="I10" s="6">
        <f t="shared" si="3"/>
        <v>9433.7791556715456</v>
      </c>
      <c r="J10" s="6">
        <f>(J9*(J6/1000))/(1.035*10^-6)</f>
        <v>9433.7791556715456</v>
      </c>
      <c r="K10" s="6">
        <f>(K9*(K6/1000))/(1.035*10^-6)</f>
        <v>19068.277016782915</v>
      </c>
      <c r="M10" s="69"/>
      <c r="N10" s="69"/>
      <c r="O10" s="69"/>
      <c r="P10" s="69"/>
      <c r="Q10" s="69"/>
      <c r="R10" s="69"/>
      <c r="S10" s="69"/>
      <c r="T10" s="69"/>
      <c r="U10" s="69"/>
      <c r="V10" s="69"/>
    </row>
    <row r="11" spans="1:52" s="40" customFormat="1" x14ac:dyDescent="0.15">
      <c r="A11" s="13" t="s">
        <v>72</v>
      </c>
      <c r="B11" s="4" t="s">
        <v>8</v>
      </c>
      <c r="C11" s="44"/>
      <c r="D11" s="38"/>
      <c r="E11" s="38">
        <v>123</v>
      </c>
      <c r="F11" s="38">
        <v>20</v>
      </c>
      <c r="G11" s="38">
        <v>20</v>
      </c>
      <c r="H11" s="38"/>
      <c r="I11" s="38"/>
      <c r="J11" s="38"/>
      <c r="K11" s="38"/>
      <c r="L11" s="60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</row>
    <row r="12" spans="1:52" s="40" customFormat="1" x14ac:dyDescent="0.15">
      <c r="A12" s="13" t="s">
        <v>73</v>
      </c>
      <c r="B12" s="4" t="s">
        <v>84</v>
      </c>
      <c r="C12" s="44"/>
      <c r="D12" s="38"/>
      <c r="E12" s="38">
        <v>3</v>
      </c>
      <c r="F12" s="38">
        <v>4</v>
      </c>
      <c r="G12" s="38">
        <v>4</v>
      </c>
      <c r="H12" s="38"/>
      <c r="I12" s="38"/>
      <c r="J12" s="38"/>
      <c r="K12" s="38"/>
      <c r="L12" s="60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</row>
    <row r="13" spans="1:52" x14ac:dyDescent="0.15">
      <c r="A13" s="13" t="s">
        <v>17</v>
      </c>
      <c r="B13" s="4" t="s">
        <v>8</v>
      </c>
      <c r="C13" s="44">
        <f>C18</f>
        <v>21666</v>
      </c>
      <c r="D13" s="6">
        <v>360</v>
      </c>
      <c r="E13" s="30">
        <v>369</v>
      </c>
      <c r="F13" s="6">
        <f>F12*F11</f>
        <v>80</v>
      </c>
      <c r="G13" s="6">
        <f>G12*G11</f>
        <v>80</v>
      </c>
      <c r="H13" s="6"/>
      <c r="I13" s="6">
        <v>426</v>
      </c>
      <c r="J13" s="6">
        <v>1000</v>
      </c>
      <c r="K13" s="6">
        <v>2516</v>
      </c>
      <c r="M13" s="69"/>
      <c r="N13" s="69"/>
      <c r="O13" s="69"/>
      <c r="P13" s="69"/>
      <c r="Q13" s="69"/>
      <c r="R13" s="69"/>
      <c r="S13" s="69"/>
      <c r="T13" s="69"/>
      <c r="U13" s="69"/>
      <c r="V13" s="69"/>
    </row>
    <row r="14" spans="1:52" x14ac:dyDescent="0.15">
      <c r="A14" s="13" t="s">
        <v>20</v>
      </c>
      <c r="B14" s="4" t="s">
        <v>5</v>
      </c>
      <c r="C14" s="44">
        <f t="shared" ref="C14:I14" si="4">C13/(C8/60)/4180</f>
        <v>1.564362250055356</v>
      </c>
      <c r="D14" s="5">
        <f t="shared" si="4"/>
        <v>2.2467235281880593</v>
      </c>
      <c r="E14" s="31">
        <f t="shared" si="4"/>
        <v>2.3028916163927606</v>
      </c>
      <c r="F14" s="5">
        <f t="shared" si="4"/>
        <v>0.57416267942583732</v>
      </c>
      <c r="G14" s="5">
        <f>G13/(G8/60)/4180</f>
        <v>0.57416267942583732</v>
      </c>
      <c r="H14" s="5">
        <f t="shared" si="4"/>
        <v>0</v>
      </c>
      <c r="I14" s="5">
        <f t="shared" si="4"/>
        <v>1.3010281991245036</v>
      </c>
      <c r="J14" s="5">
        <f>J13/(J8/60)/4180</f>
        <v>3.0540568054565815</v>
      </c>
      <c r="K14" s="5">
        <f>K13/(K8/60)/4180</f>
        <v>3.8015613195668601</v>
      </c>
      <c r="M14" s="69"/>
      <c r="N14" s="69"/>
      <c r="O14" s="69"/>
      <c r="P14" s="69"/>
      <c r="Q14" s="69"/>
      <c r="R14" s="69"/>
      <c r="S14" s="69"/>
      <c r="T14" s="69"/>
      <c r="U14" s="69"/>
      <c r="V14" s="69"/>
    </row>
    <row r="15" spans="1:52" x14ac:dyDescent="0.15">
      <c r="A15" s="13"/>
      <c r="B15" s="4"/>
      <c r="C15" s="44"/>
      <c r="D15" s="4"/>
      <c r="E15" s="32"/>
      <c r="F15" s="4"/>
      <c r="G15" s="4"/>
      <c r="H15" s="4"/>
      <c r="I15" s="4"/>
      <c r="J15" s="4"/>
      <c r="K15" s="4"/>
      <c r="M15" s="69"/>
      <c r="N15" s="69"/>
      <c r="O15" s="69"/>
      <c r="P15" s="69"/>
      <c r="Q15" s="69"/>
      <c r="R15" s="69"/>
      <c r="S15" s="69"/>
      <c r="T15" s="69"/>
      <c r="U15" s="69"/>
      <c r="V15" s="69"/>
    </row>
    <row r="16" spans="1:52" s="40" customFormat="1" x14ac:dyDescent="0.15">
      <c r="A16" s="13" t="s">
        <v>9</v>
      </c>
      <c r="B16" s="4" t="s">
        <v>10</v>
      </c>
      <c r="C16" s="44">
        <v>1</v>
      </c>
      <c r="D16" s="38">
        <v>12</v>
      </c>
      <c r="E16" s="29">
        <v>6</v>
      </c>
      <c r="F16" s="38">
        <v>18</v>
      </c>
      <c r="G16" s="38">
        <v>18</v>
      </c>
      <c r="H16" s="38">
        <v>12</v>
      </c>
      <c r="I16" s="38">
        <v>4</v>
      </c>
      <c r="J16" s="38">
        <v>3</v>
      </c>
      <c r="K16" s="38">
        <v>3</v>
      </c>
      <c r="L16" s="60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</row>
    <row r="17" spans="1:52" x14ac:dyDescent="0.15">
      <c r="A17" s="13" t="s">
        <v>19</v>
      </c>
      <c r="B17" s="4" t="s">
        <v>7</v>
      </c>
      <c r="C17" s="44">
        <f>SUM(D17:K17)</f>
        <v>198.8</v>
      </c>
      <c r="D17" s="4">
        <f>D16*D8</f>
        <v>27.599999999999998</v>
      </c>
      <c r="E17" s="32">
        <f>E16*E8</f>
        <v>13.799999999999999</v>
      </c>
      <c r="F17" s="4">
        <f t="shared" ref="F17:K17" si="5">F16*F8</f>
        <v>36</v>
      </c>
      <c r="G17" s="4">
        <f>G16*G8</f>
        <v>36</v>
      </c>
      <c r="H17" s="4">
        <f t="shared" ref="H17" si="6">H16*H8</f>
        <v>24</v>
      </c>
      <c r="I17" s="4">
        <f t="shared" si="5"/>
        <v>18.8</v>
      </c>
      <c r="J17" s="4">
        <f t="shared" si="5"/>
        <v>14.100000000000001</v>
      </c>
      <c r="K17" s="4">
        <f t="shared" si="5"/>
        <v>28.5</v>
      </c>
      <c r="M17" s="69"/>
      <c r="N17" s="69"/>
      <c r="O17" s="69"/>
      <c r="P17" s="69"/>
      <c r="Q17" s="69"/>
      <c r="R17" s="69"/>
      <c r="S17" s="69"/>
      <c r="T17" s="69"/>
      <c r="U17" s="69"/>
      <c r="V17" s="69"/>
    </row>
    <row r="18" spans="1:52" x14ac:dyDescent="0.15">
      <c r="A18" s="13" t="s">
        <v>22</v>
      </c>
      <c r="B18" s="4" t="s">
        <v>8</v>
      </c>
      <c r="C18" s="44">
        <f>SUM(D18:K18)</f>
        <v>21666</v>
      </c>
      <c r="D18" s="6">
        <f>D16*D13</f>
        <v>4320</v>
      </c>
      <c r="E18" s="30">
        <f>E16*E13</f>
        <v>2214</v>
      </c>
      <c r="F18" s="6">
        <f>F16*F13</f>
        <v>1440</v>
      </c>
      <c r="G18" s="6">
        <f>G16*G13</f>
        <v>1440</v>
      </c>
      <c r="H18" s="6"/>
      <c r="I18" s="6">
        <f>I16*I13</f>
        <v>1704</v>
      </c>
      <c r="J18" s="6">
        <f>J16*J13</f>
        <v>3000</v>
      </c>
      <c r="K18" s="6">
        <f>K16*K13</f>
        <v>7548</v>
      </c>
      <c r="M18" s="69"/>
      <c r="N18" s="69"/>
      <c r="O18" s="69"/>
      <c r="P18" s="69"/>
      <c r="Q18" s="69"/>
      <c r="R18" s="69"/>
      <c r="S18" s="69"/>
      <c r="T18" s="69"/>
      <c r="U18" s="69"/>
      <c r="V18" s="69"/>
    </row>
    <row r="19" spans="1:52" x14ac:dyDescent="0.15">
      <c r="A19" s="13" t="s">
        <v>24</v>
      </c>
      <c r="B19" s="4" t="s">
        <v>8</v>
      </c>
      <c r="C19" s="45"/>
      <c r="D19" s="4"/>
      <c r="E19" s="4"/>
      <c r="F19" s="4"/>
      <c r="G19" s="4"/>
      <c r="H19" s="3">
        <f>H16*H13</f>
        <v>0</v>
      </c>
      <c r="I19" s="3"/>
      <c r="J19" s="4"/>
      <c r="K19" s="4"/>
      <c r="M19" s="69"/>
      <c r="N19" s="69"/>
      <c r="O19" s="69"/>
      <c r="P19" s="69"/>
      <c r="Q19" s="69"/>
      <c r="R19" s="69"/>
      <c r="S19" s="69"/>
      <c r="T19" s="69"/>
      <c r="U19" s="69"/>
      <c r="V19" s="69"/>
    </row>
    <row r="20" spans="1:52" x14ac:dyDescent="0.15">
      <c r="A20" s="13"/>
      <c r="B20" s="4"/>
      <c r="C20" s="45"/>
      <c r="D20" s="4"/>
      <c r="E20" s="4"/>
      <c r="F20" s="4"/>
      <c r="G20" s="4"/>
      <c r="H20" s="3"/>
      <c r="I20" s="3"/>
      <c r="J20" s="4"/>
      <c r="K20" s="4"/>
      <c r="M20" s="69"/>
      <c r="N20" s="69"/>
      <c r="O20" s="69"/>
      <c r="P20" s="69"/>
      <c r="Q20" s="69"/>
      <c r="R20" s="69"/>
      <c r="S20" s="69"/>
      <c r="T20" s="69"/>
      <c r="U20" s="69"/>
      <c r="V20" s="69"/>
    </row>
    <row r="21" spans="1:52" x14ac:dyDescent="0.15">
      <c r="A21" s="13" t="s">
        <v>15</v>
      </c>
      <c r="B21" s="4" t="s">
        <v>0</v>
      </c>
      <c r="C21" s="45"/>
      <c r="D21" s="4"/>
      <c r="E21" s="4"/>
      <c r="F21" s="4"/>
      <c r="G21" s="4"/>
      <c r="H21" s="4"/>
      <c r="I21" s="4"/>
      <c r="J21" s="4"/>
      <c r="K21" s="4"/>
      <c r="M21" s="69"/>
      <c r="N21" s="69"/>
      <c r="O21" s="69"/>
      <c r="P21" s="69"/>
      <c r="Q21" s="69"/>
      <c r="R21" s="69"/>
      <c r="S21" s="69"/>
      <c r="T21" s="69"/>
      <c r="U21" s="69"/>
      <c r="V21" s="69"/>
    </row>
    <row r="22" spans="1:52" x14ac:dyDescent="0.15">
      <c r="A22" s="12"/>
      <c r="B22" s="10"/>
      <c r="C22" s="10"/>
      <c r="D22" s="10"/>
      <c r="E22" s="10"/>
      <c r="F22" s="10"/>
      <c r="G22" s="10"/>
      <c r="H22" s="12"/>
      <c r="I22" s="12"/>
      <c r="J22" s="10"/>
      <c r="K22" s="10"/>
      <c r="M22" s="69"/>
      <c r="N22" s="69"/>
      <c r="O22" s="69"/>
      <c r="P22" s="69"/>
      <c r="Q22" s="69"/>
      <c r="R22" s="69"/>
      <c r="S22" s="69"/>
      <c r="T22" s="69"/>
      <c r="U22" s="69"/>
      <c r="V22" s="69"/>
    </row>
    <row r="23" spans="1:52" x14ac:dyDescent="0.15">
      <c r="A23" s="65" t="s">
        <v>79</v>
      </c>
      <c r="B23" s="10"/>
      <c r="C23" s="10"/>
      <c r="D23" s="10"/>
      <c r="E23" s="10"/>
      <c r="F23" s="10"/>
      <c r="G23" s="10"/>
      <c r="H23" s="12"/>
      <c r="I23" s="12"/>
      <c r="J23" s="10"/>
      <c r="K23" s="10"/>
      <c r="M23" s="69"/>
      <c r="N23" s="69"/>
      <c r="O23" s="69"/>
      <c r="P23" s="69"/>
      <c r="Q23" s="69"/>
      <c r="R23" s="69"/>
      <c r="S23" s="69"/>
      <c r="T23" s="69"/>
      <c r="U23" s="69"/>
      <c r="V23" s="69"/>
    </row>
    <row r="24" spans="1:52" x14ac:dyDescent="0.15">
      <c r="A24" s="16" t="s">
        <v>19</v>
      </c>
      <c r="B24" s="17" t="s">
        <v>7</v>
      </c>
      <c r="C24" s="18">
        <f>C8</f>
        <v>198.8</v>
      </c>
      <c r="D24" s="2"/>
      <c r="E24" s="2"/>
      <c r="F24" s="2"/>
      <c r="G24" s="2"/>
      <c r="J24" s="2"/>
      <c r="K24" s="2"/>
      <c r="M24" s="69"/>
      <c r="N24" s="69"/>
      <c r="O24" s="69"/>
      <c r="P24" s="69"/>
      <c r="Q24" s="69"/>
      <c r="R24" s="69"/>
      <c r="S24" s="69"/>
      <c r="T24" s="69"/>
      <c r="U24" s="69"/>
      <c r="V24" s="69"/>
    </row>
    <row r="25" spans="1:52" x14ac:dyDescent="0.15">
      <c r="A25" s="16" t="s">
        <v>23</v>
      </c>
      <c r="B25" s="17" t="s">
        <v>98</v>
      </c>
      <c r="C25" s="18">
        <f>C18/1000</f>
        <v>21.666</v>
      </c>
      <c r="D25" s="2"/>
      <c r="E25" s="2"/>
      <c r="F25" s="2"/>
      <c r="G25" s="2"/>
      <c r="J25" s="2"/>
      <c r="K25" s="2"/>
      <c r="M25" s="69"/>
      <c r="N25" s="69"/>
      <c r="O25" s="69"/>
      <c r="P25" s="69"/>
      <c r="Q25" s="69"/>
      <c r="R25" s="69"/>
      <c r="S25" s="69"/>
      <c r="T25" s="69"/>
      <c r="U25" s="69"/>
      <c r="V25" s="69"/>
    </row>
    <row r="26" spans="1:52" x14ac:dyDescent="0.15">
      <c r="A26" s="16" t="s">
        <v>21</v>
      </c>
      <c r="B26" s="17" t="s">
        <v>5</v>
      </c>
      <c r="C26" s="19">
        <f>C25/(C24/60)/4.18</f>
        <v>1.5643622500553562</v>
      </c>
      <c r="D26" s="2"/>
      <c r="E26" s="2"/>
      <c r="F26" s="2"/>
      <c r="G26" s="2"/>
      <c r="J26" s="2"/>
      <c r="K26" s="2"/>
      <c r="M26" s="69"/>
      <c r="N26" s="69"/>
      <c r="O26" s="69"/>
      <c r="P26" s="69"/>
      <c r="Q26" s="69"/>
      <c r="R26" s="69"/>
      <c r="S26" s="69"/>
      <c r="T26" s="69"/>
      <c r="U26" s="69"/>
      <c r="V26" s="69"/>
    </row>
    <row r="27" spans="1:52" x14ac:dyDescent="0.15">
      <c r="B27" s="2"/>
      <c r="C27" s="2"/>
      <c r="D27" s="2"/>
      <c r="E27" s="2"/>
      <c r="F27" s="2"/>
      <c r="G27" s="2"/>
      <c r="J27" s="2"/>
      <c r="K27" s="2"/>
      <c r="M27" s="69"/>
      <c r="N27" s="69"/>
      <c r="O27" s="69"/>
      <c r="P27" s="69"/>
      <c r="Q27" s="69"/>
      <c r="R27" s="69"/>
      <c r="S27" s="69"/>
      <c r="T27" s="69"/>
      <c r="U27" s="69"/>
      <c r="V27" s="69"/>
    </row>
    <row r="28" spans="1:52" x14ac:dyDescent="0.15">
      <c r="B28" s="2"/>
      <c r="C28" s="2"/>
      <c r="D28" s="2"/>
      <c r="E28" s="2"/>
      <c r="F28" s="2"/>
      <c r="G28" s="2"/>
      <c r="J28" s="2"/>
      <c r="K28" s="2"/>
    </row>
    <row r="29" spans="1:52" s="33" customFormat="1" x14ac:dyDescent="0.15"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</row>
    <row r="30" spans="1:52" s="33" customFormat="1" x14ac:dyDescent="0.15"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</row>
    <row r="31" spans="1:52" s="33" customFormat="1" x14ac:dyDescent="0.15"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</row>
  </sheetData>
  <mergeCells count="1">
    <mergeCell ref="B2:K2"/>
  </mergeCells>
  <phoneticPr fontId="7" type="noConversion"/>
  <pageMargins left="0.75" right="0.75" top="1" bottom="1" header="0.5" footer="0.5"/>
  <pageSetup orientation="landscape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Versioning</vt:lpstr>
      <vt:lpstr>Summary</vt:lpstr>
      <vt:lpstr>Present YE1 </vt:lpstr>
      <vt:lpstr>Upgr YE1 LS2</vt:lpstr>
      <vt:lpstr>Upgr YE1 LS3</vt:lpstr>
      <vt:lpstr>Present YE2 </vt:lpstr>
      <vt:lpstr>Upgr YE2  LS2 </vt:lpstr>
      <vt:lpstr>Upgr YE2  LS3</vt:lpstr>
      <vt:lpstr>Present YE3</vt:lpstr>
      <vt:lpstr>Upgrade YE3 LS2</vt:lpstr>
      <vt:lpstr>Upgrade YE3 LS3</vt:lpstr>
      <vt:lpstr>Sheet1</vt:lpstr>
    </vt:vector>
  </TitlesOfParts>
  <Company>UW - Physical Sciences Laboratory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ffeyzi</dc:creator>
  <cp:lastModifiedBy>paola tropea</cp:lastModifiedBy>
  <cp:lastPrinted>2012-05-24T07:06:53Z</cp:lastPrinted>
  <dcterms:created xsi:type="dcterms:W3CDTF">2000-09-12T19:14:17Z</dcterms:created>
  <dcterms:modified xsi:type="dcterms:W3CDTF">2018-11-15T13:32:19Z</dcterms:modified>
</cp:coreProperties>
</file>