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cern.ch\dfs\Users\p\ptropea\Desktop\"/>
    </mc:Choice>
  </mc:AlternateContent>
  <bookViews>
    <workbookView xWindow="0" yWindow="0" windowWidth="26955" windowHeight="10635" tabRatio="762" activeTab="5"/>
  </bookViews>
  <sheets>
    <sheet name="Versioning" sheetId="11" r:id="rId1"/>
    <sheet name="Summary" sheetId="5" r:id="rId2"/>
    <sheet name="Present YE1 " sheetId="6" r:id="rId3"/>
    <sheet name="Upgr YE1 LS2" sheetId="12" r:id="rId4"/>
    <sheet name="Upgr YE1 LS3" sheetId="18" r:id="rId5"/>
    <sheet name="Present YE2 " sheetId="7" r:id="rId6"/>
    <sheet name="Upgr YE2  LS2 " sheetId="15" r:id="rId7"/>
    <sheet name="Upgr YE2  LS3" sheetId="21" r:id="rId8"/>
    <sheet name="Present YE3" sheetId="8" r:id="rId9"/>
    <sheet name="Upgrade YE3 LS2" sheetId="16" r:id="rId10"/>
    <sheet name="Upgrade YE3 LS3" sheetId="20" r:id="rId11"/>
    <sheet name="Sheet1" sheetId="17" r:id="rId12"/>
  </sheets>
  <calcPr calcId="162913"/>
</workbook>
</file>

<file path=xl/calcChain.xml><?xml version="1.0" encoding="utf-8"?>
<calcChain xmlns="http://schemas.openxmlformats.org/spreadsheetml/2006/main">
  <c r="C17" i="7" l="1"/>
  <c r="C13" i="7"/>
  <c r="C24" i="6"/>
  <c r="C17" i="6"/>
  <c r="F17" i="21"/>
  <c r="F17" i="7"/>
  <c r="E13" i="6"/>
  <c r="F13" i="6"/>
  <c r="D13" i="6"/>
  <c r="G14" i="8"/>
  <c r="F16" i="20"/>
  <c r="F18" i="20" s="1"/>
  <c r="F11" i="20"/>
  <c r="F13" i="20" s="1"/>
  <c r="F14" i="20" s="1"/>
  <c r="F8" i="20"/>
  <c r="F6" i="20"/>
  <c r="F7" i="20" s="1"/>
  <c r="F9" i="20" s="1"/>
  <c r="F10" i="20" s="1"/>
  <c r="F13" i="16"/>
  <c r="F18" i="16" s="1"/>
  <c r="F11" i="16"/>
  <c r="F16" i="16"/>
  <c r="F17" i="16" s="1"/>
  <c r="I18" i="18"/>
  <c r="I17" i="18"/>
  <c r="I13" i="18"/>
  <c r="I14" i="18" s="1"/>
  <c r="I6" i="18"/>
  <c r="I7" i="18" s="1"/>
  <c r="I9" i="18" s="1"/>
  <c r="I10" i="18" s="1"/>
  <c r="I17" i="12"/>
  <c r="I13" i="12"/>
  <c r="I18" i="12" s="1"/>
  <c r="I6" i="12"/>
  <c r="I7" i="12" s="1"/>
  <c r="I9" i="12" s="1"/>
  <c r="I10" i="12" s="1"/>
  <c r="K18" i="18"/>
  <c r="K17" i="18"/>
  <c r="K13" i="18"/>
  <c r="K14" i="18" s="1"/>
  <c r="K6" i="18"/>
  <c r="K7" i="18" s="1"/>
  <c r="K9" i="18" s="1"/>
  <c r="K10" i="18" s="1"/>
  <c r="J17" i="12"/>
  <c r="J13" i="12"/>
  <c r="J18" i="12" s="1"/>
  <c r="J6" i="12"/>
  <c r="J7" i="12" s="1"/>
  <c r="J9" i="12" s="1"/>
  <c r="J10" i="12" s="1"/>
  <c r="L14" i="6"/>
  <c r="L9" i="6"/>
  <c r="L10" i="6" s="1"/>
  <c r="L7" i="6"/>
  <c r="L6" i="6"/>
  <c r="I18" i="6"/>
  <c r="H18" i="6"/>
  <c r="F17" i="20" l="1"/>
  <c r="F14" i="16"/>
  <c r="I14" i="12"/>
  <c r="J14" i="12"/>
  <c r="C18" i="16"/>
  <c r="C13" i="15"/>
  <c r="C13" i="16"/>
  <c r="C17" i="16"/>
  <c r="G6" i="12" l="1"/>
  <c r="H6" i="12"/>
  <c r="H7" i="12" s="1"/>
  <c r="G7" i="12"/>
  <c r="G9" i="12" s="1"/>
  <c r="G10" i="12" s="1"/>
  <c r="G8" i="12"/>
  <c r="H8" i="12"/>
  <c r="H9" i="12" s="1"/>
  <c r="H10" i="12" s="1"/>
  <c r="G11" i="12"/>
  <c r="G13" i="12" s="1"/>
  <c r="G14" i="12" s="1"/>
  <c r="H11" i="12"/>
  <c r="G12" i="12"/>
  <c r="H12" i="12"/>
  <c r="H13" i="12" s="1"/>
  <c r="G16" i="12"/>
  <c r="G17" i="12" s="1"/>
  <c r="H16" i="12"/>
  <c r="L18" i="6"/>
  <c r="K18" i="6"/>
  <c r="L17" i="6"/>
  <c r="L13" i="6"/>
  <c r="F35" i="5"/>
  <c r="H18" i="12" l="1"/>
  <c r="H14" i="12"/>
  <c r="H17" i="12"/>
  <c r="G18" i="12"/>
  <c r="C28" i="5"/>
  <c r="C29" i="5" s="1"/>
  <c r="D11" i="8"/>
  <c r="D11" i="20" s="1"/>
  <c r="D11" i="7"/>
  <c r="D5" i="21"/>
  <c r="D6" i="21"/>
  <c r="D7" i="21"/>
  <c r="D13" i="21"/>
  <c r="D15" i="21"/>
  <c r="D16" i="21"/>
  <c r="D18" i="21"/>
  <c r="D19" i="21"/>
  <c r="D4" i="21"/>
  <c r="E5" i="21"/>
  <c r="E6" i="21"/>
  <c r="E7" i="21"/>
  <c r="E8" i="21"/>
  <c r="E9" i="21"/>
  <c r="E11" i="21"/>
  <c r="E12" i="21"/>
  <c r="E13" i="21"/>
  <c r="E14" i="21"/>
  <c r="E15" i="21"/>
  <c r="E16" i="21"/>
  <c r="E18" i="21"/>
  <c r="E19" i="21"/>
  <c r="E4" i="21"/>
  <c r="H16" i="18"/>
  <c r="G16" i="18"/>
  <c r="H12" i="18"/>
  <c r="G12" i="18"/>
  <c r="H11" i="18"/>
  <c r="G11" i="18"/>
  <c r="H8" i="18"/>
  <c r="G8" i="18"/>
  <c r="H6" i="18"/>
  <c r="H7" i="18" s="1"/>
  <c r="G6" i="18"/>
  <c r="G7" i="18" s="1"/>
  <c r="H5" i="20"/>
  <c r="H6" i="20"/>
  <c r="H7" i="20"/>
  <c r="H8" i="20"/>
  <c r="H9" i="20"/>
  <c r="H10" i="20"/>
  <c r="H11" i="20"/>
  <c r="H12" i="20"/>
  <c r="H13" i="20"/>
  <c r="H14" i="20"/>
  <c r="H15" i="20"/>
  <c r="H16" i="20"/>
  <c r="H17" i="20"/>
  <c r="H18" i="20"/>
  <c r="H4" i="20"/>
  <c r="G12" i="20"/>
  <c r="G11" i="20"/>
  <c r="D12" i="16"/>
  <c r="D11" i="16"/>
  <c r="D12" i="20"/>
  <c r="I19" i="20"/>
  <c r="J18" i="20"/>
  <c r="E18" i="20"/>
  <c r="J17" i="20"/>
  <c r="E17" i="20"/>
  <c r="L16" i="20"/>
  <c r="L18" i="20" s="1"/>
  <c r="K16" i="20"/>
  <c r="K17" i="20" s="1"/>
  <c r="J16" i="20"/>
  <c r="G16" i="20"/>
  <c r="D16" i="20"/>
  <c r="D17" i="20" s="1"/>
  <c r="J14" i="20"/>
  <c r="I14" i="20"/>
  <c r="E14" i="20"/>
  <c r="D14" i="20"/>
  <c r="L12" i="20"/>
  <c r="K12" i="20"/>
  <c r="J12" i="20"/>
  <c r="I12" i="20"/>
  <c r="L11" i="20"/>
  <c r="K11" i="20"/>
  <c r="J11" i="20"/>
  <c r="I11" i="20"/>
  <c r="L8" i="20"/>
  <c r="L14" i="20" s="1"/>
  <c r="K8" i="20"/>
  <c r="K14" i="20" s="1"/>
  <c r="J8" i="20"/>
  <c r="J9" i="20" s="1"/>
  <c r="J10" i="20" s="1"/>
  <c r="I8" i="20"/>
  <c r="I17" i="20" s="1"/>
  <c r="G8" i="20"/>
  <c r="G9" i="20" s="1"/>
  <c r="G10" i="20" s="1"/>
  <c r="D8" i="20"/>
  <c r="D9" i="20" s="1"/>
  <c r="D10" i="20" s="1"/>
  <c r="L7" i="20"/>
  <c r="G7" i="20"/>
  <c r="C7" i="20"/>
  <c r="L6" i="20"/>
  <c r="K6" i="20"/>
  <c r="K7" i="20" s="1"/>
  <c r="K9" i="20" s="1"/>
  <c r="K10" i="20" s="1"/>
  <c r="J6" i="20"/>
  <c r="J7" i="20" s="1"/>
  <c r="I6" i="20"/>
  <c r="I7" i="20" s="1"/>
  <c r="G6" i="20"/>
  <c r="E6" i="20"/>
  <c r="E7" i="20" s="1"/>
  <c r="E9" i="20" s="1"/>
  <c r="E10" i="20" s="1"/>
  <c r="D6" i="20"/>
  <c r="D7" i="20" s="1"/>
  <c r="C6" i="20"/>
  <c r="E13" i="7"/>
  <c r="D18" i="7"/>
  <c r="K13" i="6"/>
  <c r="K17" i="6"/>
  <c r="C8" i="6"/>
  <c r="H17" i="18" l="1"/>
  <c r="G17" i="18"/>
  <c r="H13" i="18"/>
  <c r="H18" i="18" s="1"/>
  <c r="G13" i="18"/>
  <c r="G14" i="18" s="1"/>
  <c r="H9" i="18"/>
  <c r="H10" i="18" s="1"/>
  <c r="G9" i="18"/>
  <c r="G10" i="18" s="1"/>
  <c r="G18" i="18"/>
  <c r="G13" i="20"/>
  <c r="G14" i="20" s="1"/>
  <c r="C8" i="20"/>
  <c r="L9" i="20"/>
  <c r="L10" i="20" s="1"/>
  <c r="C17" i="20"/>
  <c r="I9" i="20"/>
  <c r="I10" i="20" s="1"/>
  <c r="G17" i="20"/>
  <c r="L17" i="20"/>
  <c r="K18" i="20"/>
  <c r="D18" i="20"/>
  <c r="G11" i="16"/>
  <c r="C18" i="20" l="1"/>
  <c r="C25" i="20" s="1"/>
  <c r="H14" i="18"/>
  <c r="G18" i="20"/>
  <c r="C13" i="20"/>
  <c r="C14" i="20" s="1"/>
  <c r="C24" i="20"/>
  <c r="C9" i="20"/>
  <c r="C10" i="20" s="1"/>
  <c r="F14" i="7"/>
  <c r="C26" i="20" l="1"/>
  <c r="H18" i="16" l="1"/>
  <c r="E18" i="16"/>
  <c r="D18" i="16"/>
  <c r="C8" i="16" l="1"/>
  <c r="C24" i="16" s="1"/>
  <c r="H17" i="8" l="1"/>
  <c r="P13" i="12" l="1"/>
  <c r="E17" i="16" l="1"/>
  <c r="E14" i="16"/>
  <c r="E6" i="16"/>
  <c r="E7" i="16" s="1"/>
  <c r="E9" i="16" s="1"/>
  <c r="E10" i="16" s="1"/>
  <c r="E18" i="8"/>
  <c r="E17" i="8"/>
  <c r="E14" i="8"/>
  <c r="E6" i="8"/>
  <c r="E7" i="8" s="1"/>
  <c r="E9" i="8" s="1"/>
  <c r="E10" i="8" s="1"/>
  <c r="D6" i="8"/>
  <c r="D7" i="8"/>
  <c r="D9" i="8"/>
  <c r="D10" i="8"/>
  <c r="D14" i="8"/>
  <c r="D17" i="8"/>
  <c r="D18" i="8"/>
  <c r="I18" i="21"/>
  <c r="H18" i="21"/>
  <c r="G18" i="21"/>
  <c r="C13" i="21"/>
  <c r="I12" i="21"/>
  <c r="H12" i="21"/>
  <c r="G12" i="21"/>
  <c r="F12" i="21"/>
  <c r="I11" i="21"/>
  <c r="H11" i="21"/>
  <c r="G11" i="21"/>
  <c r="F11" i="21"/>
  <c r="I8" i="21"/>
  <c r="I14" i="21" s="1"/>
  <c r="H8" i="21"/>
  <c r="H14" i="21" s="1"/>
  <c r="G8" i="21"/>
  <c r="G14" i="21" s="1"/>
  <c r="F8" i="21"/>
  <c r="C18" i="21" s="1"/>
  <c r="C26" i="21" s="1"/>
  <c r="H7" i="21"/>
  <c r="F7" i="21"/>
  <c r="I6" i="21"/>
  <c r="I7" i="21" s="1"/>
  <c r="I9" i="21" s="1"/>
  <c r="I10" i="21" s="1"/>
  <c r="H6" i="21"/>
  <c r="G6" i="21"/>
  <c r="G7" i="21" s="1"/>
  <c r="G9" i="21" s="1"/>
  <c r="G10" i="21" s="1"/>
  <c r="F6" i="21"/>
  <c r="C6" i="21"/>
  <c r="C7" i="21" s="1"/>
  <c r="E17" i="15"/>
  <c r="E17" i="21" s="1"/>
  <c r="E14" i="15"/>
  <c r="E6" i="15"/>
  <c r="E7" i="15" s="1"/>
  <c r="E9" i="15" s="1"/>
  <c r="E10" i="15" s="1"/>
  <c r="E10" i="21" s="1"/>
  <c r="P17" i="18"/>
  <c r="P13" i="18"/>
  <c r="P18" i="18" s="1"/>
  <c r="P6" i="18"/>
  <c r="P7" i="18" s="1"/>
  <c r="P9" i="18" s="1"/>
  <c r="P10" i="18" s="1"/>
  <c r="R6" i="18"/>
  <c r="R7" i="18" s="1"/>
  <c r="R9" i="18" s="1"/>
  <c r="R10" i="18" s="1"/>
  <c r="Q6" i="18"/>
  <c r="Q7" i="18" s="1"/>
  <c r="Q9" i="18" s="1"/>
  <c r="C3" i="5"/>
  <c r="C4" i="5" s="1"/>
  <c r="R6" i="12"/>
  <c r="R7" i="12" s="1"/>
  <c r="R9" i="12" s="1"/>
  <c r="R10" i="12" s="1"/>
  <c r="Q7" i="12"/>
  <c r="Q9" i="12" s="1"/>
  <c r="Q10" i="12" s="1"/>
  <c r="Q13" i="12"/>
  <c r="Q14" i="12" s="1"/>
  <c r="R13" i="12"/>
  <c r="R14" i="12" s="1"/>
  <c r="Q17" i="12"/>
  <c r="R17" i="12"/>
  <c r="X18" i="18"/>
  <c r="W18" i="18" s="1"/>
  <c r="W13" i="18" s="1"/>
  <c r="W14" i="18" s="1"/>
  <c r="U18" i="18"/>
  <c r="T18" i="18" s="1"/>
  <c r="X17" i="18"/>
  <c r="U17" i="18"/>
  <c r="R17" i="18"/>
  <c r="Q17" i="18"/>
  <c r="O16" i="18"/>
  <c r="N16" i="18"/>
  <c r="M16" i="18"/>
  <c r="M18" i="18" s="1"/>
  <c r="J16" i="18"/>
  <c r="J19" i="18" s="1"/>
  <c r="L16" i="18"/>
  <c r="L18" i="18" s="1"/>
  <c r="F16" i="18"/>
  <c r="F18" i="18" s="1"/>
  <c r="E16" i="18"/>
  <c r="E18" i="18" s="1"/>
  <c r="D16" i="18"/>
  <c r="D18" i="18" s="1"/>
  <c r="X14" i="18"/>
  <c r="U14" i="18"/>
  <c r="R13" i="18"/>
  <c r="R14" i="18" s="1"/>
  <c r="Q13" i="18"/>
  <c r="Q18" i="18" s="1"/>
  <c r="O12" i="18"/>
  <c r="N12" i="18"/>
  <c r="M12" i="18"/>
  <c r="J12" i="18"/>
  <c r="L12" i="18"/>
  <c r="F12" i="18"/>
  <c r="E12" i="18"/>
  <c r="D12" i="18"/>
  <c r="O11" i="18"/>
  <c r="N11" i="18"/>
  <c r="M11" i="18"/>
  <c r="J11" i="18"/>
  <c r="L11" i="18"/>
  <c r="F11" i="18"/>
  <c r="E11" i="18"/>
  <c r="D11" i="18"/>
  <c r="W8" i="18"/>
  <c r="W17" i="18" s="1"/>
  <c r="T8" i="18"/>
  <c r="T17" i="18" s="1"/>
  <c r="O8" i="18"/>
  <c r="O14" i="18" s="1"/>
  <c r="N8" i="18"/>
  <c r="N14" i="18" s="1"/>
  <c r="M8" i="18"/>
  <c r="M14" i="18" s="1"/>
  <c r="J8" i="18"/>
  <c r="J14" i="18" s="1"/>
  <c r="L8" i="18"/>
  <c r="L14" i="18" s="1"/>
  <c r="F8" i="18"/>
  <c r="F14" i="18" s="1"/>
  <c r="E8" i="18"/>
  <c r="E14" i="18" s="1"/>
  <c r="D8" i="18"/>
  <c r="X6" i="18"/>
  <c r="X7" i="18" s="1"/>
  <c r="X9" i="18" s="1"/>
  <c r="X10" i="18" s="1"/>
  <c r="W6" i="18"/>
  <c r="W7" i="18" s="1"/>
  <c r="U6" i="18"/>
  <c r="U7" i="18" s="1"/>
  <c r="U9" i="18" s="1"/>
  <c r="U10" i="18" s="1"/>
  <c r="T6" i="18"/>
  <c r="T7" i="18" s="1"/>
  <c r="O6" i="18"/>
  <c r="O7" i="18" s="1"/>
  <c r="N6" i="18"/>
  <c r="N7" i="18" s="1"/>
  <c r="M6" i="18"/>
  <c r="M7" i="18" s="1"/>
  <c r="J6" i="18"/>
  <c r="J7" i="18" s="1"/>
  <c r="L6" i="18"/>
  <c r="L7" i="18" s="1"/>
  <c r="F6" i="18"/>
  <c r="F7" i="18" s="1"/>
  <c r="E6" i="18"/>
  <c r="E7" i="18" s="1"/>
  <c r="D6" i="18"/>
  <c r="D7" i="18" s="1"/>
  <c r="C6" i="18"/>
  <c r="C7" i="18" s="1"/>
  <c r="C33" i="5"/>
  <c r="J22" i="5"/>
  <c r="P14" i="12"/>
  <c r="P17" i="12"/>
  <c r="P7" i="12"/>
  <c r="P9" i="12" s="1"/>
  <c r="P10" i="12" s="1"/>
  <c r="G17" i="21" l="1"/>
  <c r="I17" i="21"/>
  <c r="C18" i="18"/>
  <c r="C13" i="18" s="1"/>
  <c r="P14" i="18"/>
  <c r="F9" i="18"/>
  <c r="F10" i="18" s="1"/>
  <c r="C8" i="18"/>
  <c r="C24" i="18" s="1"/>
  <c r="G3" i="5" s="1"/>
  <c r="N9" i="18"/>
  <c r="N10" i="18" s="1"/>
  <c r="N17" i="18"/>
  <c r="O17" i="18"/>
  <c r="J25" i="5"/>
  <c r="F22" i="5"/>
  <c r="F23" i="5" s="1"/>
  <c r="I22" i="5"/>
  <c r="J9" i="18"/>
  <c r="J10" i="18" s="1"/>
  <c r="J17" i="18"/>
  <c r="D9" i="18"/>
  <c r="D10" i="18" s="1"/>
  <c r="D14" i="18"/>
  <c r="D17" i="18"/>
  <c r="C17" i="18" s="1"/>
  <c r="C30" i="18"/>
  <c r="G11" i="5"/>
  <c r="F14" i="21"/>
  <c r="H9" i="21"/>
  <c r="H10" i="21" s="1"/>
  <c r="H17" i="21"/>
  <c r="F9" i="21"/>
  <c r="F10" i="21" s="1"/>
  <c r="F3" i="5"/>
  <c r="Q10" i="18"/>
  <c r="R18" i="12"/>
  <c r="Q18" i="12"/>
  <c r="E9" i="18"/>
  <c r="E10" i="18" s="1"/>
  <c r="M9" i="18"/>
  <c r="M10" i="18" s="1"/>
  <c r="W9" i="18"/>
  <c r="W10" i="18" s="1"/>
  <c r="Q14" i="18"/>
  <c r="E17" i="18"/>
  <c r="M17" i="18"/>
  <c r="N18" i="18"/>
  <c r="R18" i="18"/>
  <c r="F17" i="18"/>
  <c r="O18" i="18"/>
  <c r="C29" i="18"/>
  <c r="L9" i="18"/>
  <c r="L10" i="18" s="1"/>
  <c r="O9" i="18"/>
  <c r="O10" i="18" s="1"/>
  <c r="T9" i="18"/>
  <c r="T10" i="18" s="1"/>
  <c r="T14" i="18"/>
  <c r="L17" i="18"/>
  <c r="P18" i="12"/>
  <c r="C31" i="18" l="1"/>
  <c r="C9" i="18"/>
  <c r="C10" i="18" s="1"/>
  <c r="C14" i="18"/>
  <c r="H3" i="5"/>
  <c r="I11" i="5"/>
  <c r="G15" i="5"/>
  <c r="G4" i="5"/>
  <c r="I3" i="5"/>
  <c r="F4" i="5"/>
  <c r="G13" i="6"/>
  <c r="G14" i="6"/>
  <c r="G7" i="6"/>
  <c r="G9" i="6"/>
  <c r="G10" i="6"/>
  <c r="J6" i="6"/>
  <c r="J7" i="6"/>
  <c r="J9" i="6"/>
  <c r="J10" i="6" s="1"/>
  <c r="G18" i="6"/>
  <c r="C8" i="8"/>
  <c r="C24" i="8" s="1"/>
  <c r="C15" i="5" s="1"/>
  <c r="C25" i="7"/>
  <c r="C9" i="5" s="1"/>
  <c r="D16" i="16"/>
  <c r="G16" i="16"/>
  <c r="G12" i="16"/>
  <c r="G13" i="16"/>
  <c r="G18" i="16" s="1"/>
  <c r="J16" i="16"/>
  <c r="J18" i="16" s="1"/>
  <c r="K16" i="16"/>
  <c r="L16" i="16"/>
  <c r="L18" i="16" s="1"/>
  <c r="D18" i="15"/>
  <c r="G18" i="15"/>
  <c r="H18" i="15"/>
  <c r="I18" i="15"/>
  <c r="D16" i="12"/>
  <c r="D18" i="12" s="1"/>
  <c r="E16" i="12"/>
  <c r="E18" i="12" s="1"/>
  <c r="F16" i="12"/>
  <c r="F18" i="12" s="1"/>
  <c r="K16" i="12"/>
  <c r="K18" i="12" s="1"/>
  <c r="M16" i="12"/>
  <c r="M18" i="12" s="1"/>
  <c r="N16" i="12"/>
  <c r="N18" i="12" s="1"/>
  <c r="O16" i="12"/>
  <c r="O18" i="12" s="1"/>
  <c r="I19" i="16"/>
  <c r="L8" i="16"/>
  <c r="I12" i="16"/>
  <c r="J12" i="16"/>
  <c r="K12" i="16"/>
  <c r="L12" i="16"/>
  <c r="I11" i="16"/>
  <c r="J11" i="16"/>
  <c r="K11" i="16"/>
  <c r="L11" i="16"/>
  <c r="F8" i="16"/>
  <c r="D8" i="16"/>
  <c r="G8" i="16"/>
  <c r="G17" i="16" s="1"/>
  <c r="I8" i="16"/>
  <c r="I17" i="16" s="1"/>
  <c r="J8" i="16"/>
  <c r="K8" i="16"/>
  <c r="K14" i="16" s="1"/>
  <c r="L14" i="16"/>
  <c r="D12" i="15"/>
  <c r="D12" i="21" s="1"/>
  <c r="F12" i="15"/>
  <c r="G12" i="15"/>
  <c r="H12" i="15"/>
  <c r="I12" i="15"/>
  <c r="F11" i="15"/>
  <c r="G11" i="15"/>
  <c r="H11" i="15"/>
  <c r="I11" i="15"/>
  <c r="D11" i="15"/>
  <c r="D11" i="21" s="1"/>
  <c r="F8" i="15"/>
  <c r="F17" i="15" s="1"/>
  <c r="C18" i="15" s="1"/>
  <c r="C26" i="15" s="1"/>
  <c r="D11" i="5" s="1"/>
  <c r="F11" i="5" s="1"/>
  <c r="G8" i="15"/>
  <c r="G17" i="15" s="1"/>
  <c r="H8" i="15"/>
  <c r="H17" i="15" s="1"/>
  <c r="I8" i="15"/>
  <c r="D8" i="15"/>
  <c r="D8" i="21" s="1"/>
  <c r="C8" i="21" s="1"/>
  <c r="C14" i="21" s="1"/>
  <c r="L16" i="12"/>
  <c r="L19" i="12" s="1"/>
  <c r="D8" i="12"/>
  <c r="D14" i="12" s="1"/>
  <c r="D12" i="12"/>
  <c r="E12" i="12"/>
  <c r="F12" i="12"/>
  <c r="K12" i="12"/>
  <c r="L12" i="12"/>
  <c r="M12" i="12"/>
  <c r="N12" i="12"/>
  <c r="O12" i="12"/>
  <c r="E11" i="12"/>
  <c r="F11" i="12"/>
  <c r="K11" i="12"/>
  <c r="L11" i="12"/>
  <c r="M11" i="12"/>
  <c r="N11" i="12"/>
  <c r="O11" i="12"/>
  <c r="D11" i="12"/>
  <c r="E8" i="12"/>
  <c r="E17" i="12" s="1"/>
  <c r="F8" i="12"/>
  <c r="F14" i="12" s="1"/>
  <c r="K8" i="12"/>
  <c r="K14" i="12" s="1"/>
  <c r="L8" i="12"/>
  <c r="M8" i="12"/>
  <c r="M14" i="12" s="1"/>
  <c r="N8" i="12"/>
  <c r="N14" i="12" s="1"/>
  <c r="O8" i="12"/>
  <c r="O14" i="12" s="1"/>
  <c r="J17" i="16"/>
  <c r="J14" i="16"/>
  <c r="L6" i="16"/>
  <c r="L7" i="16" s="1"/>
  <c r="L9" i="16" s="1"/>
  <c r="L10" i="16" s="1"/>
  <c r="K6" i="16"/>
  <c r="K7" i="16" s="1"/>
  <c r="K9" i="16" s="1"/>
  <c r="K10" i="16" s="1"/>
  <c r="J6" i="16"/>
  <c r="J7" i="16" s="1"/>
  <c r="I6" i="16"/>
  <c r="I7" i="16" s="1"/>
  <c r="G6" i="16"/>
  <c r="G7" i="16" s="1"/>
  <c r="F6" i="16"/>
  <c r="F7" i="16" s="1"/>
  <c r="F9" i="16" s="1"/>
  <c r="F10" i="16" s="1"/>
  <c r="D6" i="16"/>
  <c r="D7" i="16" s="1"/>
  <c r="C6" i="16"/>
  <c r="C7" i="16"/>
  <c r="I17" i="15"/>
  <c r="H14" i="15"/>
  <c r="F14" i="15"/>
  <c r="D14" i="15"/>
  <c r="D14" i="21" s="1"/>
  <c r="I6" i="15"/>
  <c r="I7" i="15"/>
  <c r="I9" i="15"/>
  <c r="I10" i="15" s="1"/>
  <c r="H6" i="15"/>
  <c r="H7" i="15"/>
  <c r="H9" i="15"/>
  <c r="H10" i="15" s="1"/>
  <c r="G6" i="15"/>
  <c r="G7" i="15"/>
  <c r="G9" i="15"/>
  <c r="G10" i="15" s="1"/>
  <c r="F6" i="15"/>
  <c r="F7" i="15"/>
  <c r="F9" i="15"/>
  <c r="F10" i="15" s="1"/>
  <c r="D6" i="15"/>
  <c r="D7" i="15"/>
  <c r="D9" i="15"/>
  <c r="C6" i="15"/>
  <c r="C7" i="15"/>
  <c r="U18" i="12"/>
  <c r="T18" i="12" s="1"/>
  <c r="X18" i="12"/>
  <c r="W18" i="12" s="1"/>
  <c r="W13" i="12" s="1"/>
  <c r="W8" i="12"/>
  <c r="W17" i="12" s="1"/>
  <c r="T8" i="12"/>
  <c r="T6" i="12"/>
  <c r="T7" i="12" s="1"/>
  <c r="W6" i="12"/>
  <c r="W7" i="12" s="1"/>
  <c r="X17" i="12"/>
  <c r="U17" i="12"/>
  <c r="X14" i="12"/>
  <c r="U14" i="12"/>
  <c r="X6" i="12"/>
  <c r="X7" i="12" s="1"/>
  <c r="X9" i="12" s="1"/>
  <c r="X10" i="12" s="1"/>
  <c r="U6" i="12"/>
  <c r="U7" i="12" s="1"/>
  <c r="U9" i="12" s="1"/>
  <c r="U10" i="12" s="1"/>
  <c r="O6" i="12"/>
  <c r="O7" i="12" s="1"/>
  <c r="N6" i="12"/>
  <c r="N7" i="12"/>
  <c r="N9" i="12" s="1"/>
  <c r="N10" i="12" s="1"/>
  <c r="M6" i="12"/>
  <c r="M7" i="12" s="1"/>
  <c r="L6" i="12"/>
  <c r="L7" i="12" s="1"/>
  <c r="K6" i="12"/>
  <c r="K7" i="12"/>
  <c r="F6" i="12"/>
  <c r="F7" i="12" s="1"/>
  <c r="F9" i="12" s="1"/>
  <c r="F10" i="12" s="1"/>
  <c r="E6" i="12"/>
  <c r="E7" i="12" s="1"/>
  <c r="D6" i="12"/>
  <c r="D7" i="12" s="1"/>
  <c r="C6" i="12"/>
  <c r="C7" i="12" s="1"/>
  <c r="G13" i="8"/>
  <c r="F13" i="8"/>
  <c r="F14" i="8" s="1"/>
  <c r="J13" i="6"/>
  <c r="J18" i="6" s="1"/>
  <c r="I13" i="6"/>
  <c r="H13" i="6"/>
  <c r="D18" i="6"/>
  <c r="E18" i="6"/>
  <c r="F18" i="6"/>
  <c r="M18" i="6"/>
  <c r="O18" i="6"/>
  <c r="P18" i="6"/>
  <c r="Q18" i="6"/>
  <c r="G18" i="8"/>
  <c r="I18" i="8"/>
  <c r="J18" i="8"/>
  <c r="K18" i="8"/>
  <c r="E18" i="7"/>
  <c r="G18" i="7"/>
  <c r="H18" i="7"/>
  <c r="I18" i="7"/>
  <c r="S8" i="6"/>
  <c r="V8" i="6"/>
  <c r="C29" i="6"/>
  <c r="C32" i="5"/>
  <c r="C34" i="5" s="1"/>
  <c r="T18" i="6"/>
  <c r="S18" i="6"/>
  <c r="W18" i="6"/>
  <c r="V18" i="6"/>
  <c r="C30" i="6"/>
  <c r="W6" i="6"/>
  <c r="W7" i="6"/>
  <c r="W9" i="6"/>
  <c r="W10" i="6"/>
  <c r="V13" i="6"/>
  <c r="V14" i="6"/>
  <c r="G17" i="8"/>
  <c r="G6" i="8"/>
  <c r="G7" i="8"/>
  <c r="G9" i="8"/>
  <c r="G10" i="8"/>
  <c r="H6" i="7"/>
  <c r="H7" i="7" s="1"/>
  <c r="H9" i="7" s="1"/>
  <c r="H10" i="7" s="1"/>
  <c r="C6" i="8"/>
  <c r="F6" i="8"/>
  <c r="H6" i="8"/>
  <c r="I6" i="8"/>
  <c r="J6" i="8"/>
  <c r="J7" i="8"/>
  <c r="J9" i="8"/>
  <c r="J10" i="8"/>
  <c r="K6" i="8"/>
  <c r="C7" i="8"/>
  <c r="F7" i="8"/>
  <c r="F9" i="8"/>
  <c r="F10" i="8"/>
  <c r="H7" i="8"/>
  <c r="I7" i="8"/>
  <c r="I9" i="8"/>
  <c r="I10" i="8"/>
  <c r="K7" i="8"/>
  <c r="H9" i="8"/>
  <c r="H10" i="8"/>
  <c r="K9" i="8"/>
  <c r="K10" i="8"/>
  <c r="H14" i="8"/>
  <c r="I14" i="8"/>
  <c r="J14" i="8"/>
  <c r="K14" i="8"/>
  <c r="F17" i="8"/>
  <c r="I17" i="8"/>
  <c r="J17" i="8"/>
  <c r="K17" i="8"/>
  <c r="C17" i="8"/>
  <c r="H19" i="8"/>
  <c r="C6" i="7"/>
  <c r="C7" i="7" s="1"/>
  <c r="D6" i="7"/>
  <c r="D7" i="7" s="1"/>
  <c r="D9" i="7" s="1"/>
  <c r="D10" i="7" s="1"/>
  <c r="E6" i="7"/>
  <c r="E7" i="7" s="1"/>
  <c r="E9" i="7" s="1"/>
  <c r="E10" i="7" s="1"/>
  <c r="F6" i="7"/>
  <c r="F7" i="7" s="1"/>
  <c r="F9" i="7" s="1"/>
  <c r="F10" i="7" s="1"/>
  <c r="G6" i="7"/>
  <c r="I6" i="7"/>
  <c r="I7" i="7"/>
  <c r="I9" i="7" s="1"/>
  <c r="I10" i="7" s="1"/>
  <c r="G7" i="7"/>
  <c r="G9" i="7" s="1"/>
  <c r="G10" i="7" s="1"/>
  <c r="D14" i="7"/>
  <c r="E14" i="7"/>
  <c r="G14" i="7"/>
  <c r="H14" i="7"/>
  <c r="I14" i="7"/>
  <c r="D17" i="7"/>
  <c r="E17" i="7"/>
  <c r="G17" i="7"/>
  <c r="H17" i="7"/>
  <c r="I17" i="7"/>
  <c r="C6" i="6"/>
  <c r="D6" i="6"/>
  <c r="E6" i="6"/>
  <c r="F6" i="6"/>
  <c r="H6" i="6"/>
  <c r="I6" i="6"/>
  <c r="K6" i="6"/>
  <c r="M6" i="6"/>
  <c r="N6" i="6"/>
  <c r="O6" i="6"/>
  <c r="P6" i="6"/>
  <c r="Q6" i="6"/>
  <c r="S6" i="6"/>
  <c r="S7" i="6"/>
  <c r="S9" i="6"/>
  <c r="S10" i="6"/>
  <c r="T6" i="6"/>
  <c r="V6" i="6"/>
  <c r="V7" i="6"/>
  <c r="V9" i="6"/>
  <c r="V10" i="6"/>
  <c r="C7" i="6"/>
  <c r="C9" i="6"/>
  <c r="C10" i="6" s="1"/>
  <c r="D7" i="6"/>
  <c r="D9" i="6"/>
  <c r="D10" i="6"/>
  <c r="E7" i="6"/>
  <c r="F7" i="6"/>
  <c r="H7" i="6"/>
  <c r="I7" i="6"/>
  <c r="I9" i="6"/>
  <c r="I10" i="6"/>
  <c r="K7" i="6"/>
  <c r="M7" i="6"/>
  <c r="M9" i="6"/>
  <c r="M10" i="6"/>
  <c r="N7" i="6"/>
  <c r="N9" i="6"/>
  <c r="N10" i="6"/>
  <c r="O7" i="6"/>
  <c r="P7" i="6"/>
  <c r="Q7" i="6"/>
  <c r="T7" i="6"/>
  <c r="E9" i="6"/>
  <c r="F9" i="6"/>
  <c r="F10" i="6"/>
  <c r="H9" i="6"/>
  <c r="H10" i="6"/>
  <c r="K9" i="6"/>
  <c r="K10" i="6"/>
  <c r="O9" i="6"/>
  <c r="P9" i="6"/>
  <c r="P10" i="6"/>
  <c r="Q9" i="6"/>
  <c r="Q10" i="6"/>
  <c r="T9" i="6"/>
  <c r="T10" i="6"/>
  <c r="E10" i="6"/>
  <c r="O10" i="6"/>
  <c r="D14" i="6"/>
  <c r="E14" i="6"/>
  <c r="F14" i="6"/>
  <c r="K14" i="6"/>
  <c r="M14" i="6"/>
  <c r="N14" i="6"/>
  <c r="O14" i="6"/>
  <c r="P14" i="6"/>
  <c r="Q14" i="6"/>
  <c r="S14" i="6"/>
  <c r="T14" i="6"/>
  <c r="W14" i="6"/>
  <c r="D17" i="6"/>
  <c r="E17" i="6"/>
  <c r="F17" i="6"/>
  <c r="H17" i="6"/>
  <c r="I17" i="6"/>
  <c r="M17" i="6"/>
  <c r="N17" i="6"/>
  <c r="O17" i="6"/>
  <c r="P17" i="6"/>
  <c r="Q17" i="6"/>
  <c r="S17" i="6"/>
  <c r="T17" i="6"/>
  <c r="V17" i="6"/>
  <c r="W17" i="6"/>
  <c r="N19" i="6"/>
  <c r="C9" i="8"/>
  <c r="C10" i="8" s="1"/>
  <c r="L14" i="12"/>
  <c r="C31" i="6"/>
  <c r="I14" i="15"/>
  <c r="H14" i="6"/>
  <c r="C25" i="21" l="1"/>
  <c r="C27" i="21" s="1"/>
  <c r="G14" i="15"/>
  <c r="C9" i="21"/>
  <c r="C10" i="21" s="1"/>
  <c r="D10" i="15"/>
  <c r="D10" i="21" s="1"/>
  <c r="D9" i="21"/>
  <c r="D17" i="15"/>
  <c r="D17" i="21" s="1"/>
  <c r="C17" i="21" s="1"/>
  <c r="C18" i="6"/>
  <c r="C13" i="6" s="1"/>
  <c r="K17" i="12"/>
  <c r="K9" i="12"/>
  <c r="K10" i="12" s="1"/>
  <c r="W9" i="12"/>
  <c r="W10" i="12" s="1"/>
  <c r="W14" i="12"/>
  <c r="F17" i="12"/>
  <c r="D9" i="12"/>
  <c r="D10" i="12" s="1"/>
  <c r="T14" i="12"/>
  <c r="C29" i="12"/>
  <c r="J14" i="6"/>
  <c r="C8" i="12"/>
  <c r="C24" i="12" s="1"/>
  <c r="D3" i="5" s="1"/>
  <c r="E3" i="5" s="1"/>
  <c r="L17" i="12"/>
  <c r="C25" i="18"/>
  <c r="G5" i="5" s="1"/>
  <c r="I5" i="5" s="1"/>
  <c r="I6" i="5" s="1"/>
  <c r="G9" i="5"/>
  <c r="G22" i="5" s="1"/>
  <c r="G23" i="5" s="1"/>
  <c r="I14" i="6"/>
  <c r="F18" i="8"/>
  <c r="C18" i="8" s="1"/>
  <c r="C25" i="8" s="1"/>
  <c r="C17" i="5" s="1"/>
  <c r="D17" i="5"/>
  <c r="G9" i="16"/>
  <c r="G10" i="16" s="1"/>
  <c r="D9" i="16"/>
  <c r="D10" i="16" s="1"/>
  <c r="J9" i="16"/>
  <c r="J10" i="16" s="1"/>
  <c r="K17" i="16"/>
  <c r="D15" i="5"/>
  <c r="L17" i="16"/>
  <c r="G17" i="5"/>
  <c r="F15" i="5"/>
  <c r="H15" i="5"/>
  <c r="G16" i="5"/>
  <c r="C13" i="8"/>
  <c r="C14" i="8" s="1"/>
  <c r="I4" i="5"/>
  <c r="C16" i="5"/>
  <c r="I14" i="16"/>
  <c r="D17" i="16"/>
  <c r="I9" i="16"/>
  <c r="I10" i="16" s="1"/>
  <c r="G14" i="16"/>
  <c r="K18" i="16"/>
  <c r="D14" i="16"/>
  <c r="C9" i="16"/>
  <c r="C10" i="16" s="1"/>
  <c r="C26" i="8"/>
  <c r="C26" i="7"/>
  <c r="C11" i="5" s="1"/>
  <c r="C14" i="7"/>
  <c r="C8" i="15"/>
  <c r="N17" i="12"/>
  <c r="E9" i="12"/>
  <c r="E10" i="12" s="1"/>
  <c r="C30" i="12"/>
  <c r="O17" i="12"/>
  <c r="O9" i="12"/>
  <c r="O10" i="12" s="1"/>
  <c r="M9" i="12"/>
  <c r="M10" i="12" s="1"/>
  <c r="D17" i="12"/>
  <c r="C17" i="12" s="1"/>
  <c r="L9" i="12"/>
  <c r="L10" i="12" s="1"/>
  <c r="T9" i="12"/>
  <c r="T10" i="12" s="1"/>
  <c r="T17" i="12"/>
  <c r="M17" i="12"/>
  <c r="E14" i="12"/>
  <c r="C17" i="15" l="1"/>
  <c r="C25" i="6"/>
  <c r="C26" i="6" s="1"/>
  <c r="C31" i="12"/>
  <c r="C18" i="12"/>
  <c r="C25" i="12" s="1"/>
  <c r="D4" i="5"/>
  <c r="E4" i="5" s="1"/>
  <c r="C26" i="18"/>
  <c r="G10" i="5"/>
  <c r="G12" i="5"/>
  <c r="H11" i="5"/>
  <c r="E11" i="5"/>
  <c r="C14" i="6"/>
  <c r="H17" i="5"/>
  <c r="I17" i="5"/>
  <c r="I24" i="5" s="1"/>
  <c r="G24" i="5"/>
  <c r="C22" i="5"/>
  <c r="H22" i="5" s="1"/>
  <c r="H23" i="5" s="1"/>
  <c r="C25" i="16"/>
  <c r="C26" i="16" s="1"/>
  <c r="E15" i="5"/>
  <c r="G18" i="5"/>
  <c r="F16" i="5"/>
  <c r="I15" i="5"/>
  <c r="F9" i="5"/>
  <c r="H9" i="5"/>
  <c r="C10" i="5"/>
  <c r="C18" i="5"/>
  <c r="C14" i="16"/>
  <c r="D16" i="5"/>
  <c r="E16" i="5" s="1"/>
  <c r="C14" i="15"/>
  <c r="C25" i="15"/>
  <c r="C9" i="15"/>
  <c r="C10" i="15" s="1"/>
  <c r="C27" i="7"/>
  <c r="G6" i="5"/>
  <c r="C9" i="12"/>
  <c r="C10" i="12" s="1"/>
  <c r="C5" i="5" l="1"/>
  <c r="C6" i="5" s="1"/>
  <c r="C13" i="12"/>
  <c r="C14" i="12" s="1"/>
  <c r="D9" i="5"/>
  <c r="C27" i="15"/>
  <c r="C24" i="5"/>
  <c r="D5" i="5"/>
  <c r="D6" i="5" s="1"/>
  <c r="C26" i="12"/>
  <c r="C23" i="5"/>
  <c r="I16" i="5"/>
  <c r="I18" i="5"/>
  <c r="I9" i="5"/>
  <c r="F10" i="5"/>
  <c r="F12" i="5"/>
  <c r="C12" i="5"/>
  <c r="C25" i="5" l="1"/>
  <c r="H24" i="5"/>
  <c r="D22" i="5"/>
  <c r="E22" i="5" s="1"/>
  <c r="D10" i="5"/>
  <c r="E10" i="5" s="1"/>
  <c r="E9" i="5"/>
  <c r="D12" i="5"/>
  <c r="F5" i="5"/>
  <c r="F6" i="5" s="1"/>
  <c r="E5" i="5"/>
  <c r="H5" i="5"/>
  <c r="D24" i="5"/>
  <c r="E24" i="5" s="1"/>
  <c r="E17" i="5"/>
  <c r="F17" i="5"/>
  <c r="F18" i="5" s="1"/>
  <c r="D18" i="5"/>
  <c r="I10" i="5"/>
  <c r="I12" i="5"/>
  <c r="D23" i="5" l="1"/>
  <c r="E23" i="5" s="1"/>
  <c r="F24" i="5"/>
  <c r="F25" i="5" s="1"/>
  <c r="D25" i="5"/>
  <c r="G25" i="5"/>
  <c r="I23" i="5"/>
  <c r="I25" i="5"/>
</calcChain>
</file>

<file path=xl/comments1.xml><?xml version="1.0" encoding="utf-8"?>
<comments xmlns="http://schemas.openxmlformats.org/spreadsheetml/2006/main">
  <authors>
    <author>paola tropea</author>
  </authors>
  <commentList>
    <comment ref="J23" authorId="0" shapeId="0">
      <text>
        <r>
          <rPr>
            <b/>
            <sz val="10"/>
            <color rgb="FF000000"/>
            <rFont val="Calibri"/>
            <family val="2"/>
          </rPr>
          <t>paola tropea: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From EN-CV flowmeter
</t>
        </r>
      </text>
    </comment>
    <comment ref="J24" authorId="0" shapeId="0">
      <text>
        <r>
          <rPr>
            <b/>
            <sz val="10"/>
            <color rgb="FF000000"/>
            <rFont val="Calibri"/>
            <family val="2"/>
          </rPr>
          <t>paola tropea: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Calculated from DT and Flow measurements
</t>
        </r>
      </text>
    </comment>
    <comment ref="J25" authorId="0" shapeId="0">
      <text>
        <r>
          <rPr>
            <b/>
            <sz val="10"/>
            <color rgb="FF000000"/>
            <rFont val="Calibri"/>
            <family val="2"/>
          </rPr>
          <t>paola tropea: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>From main circuit T readings</t>
        </r>
      </text>
    </comment>
  </commentList>
</comments>
</file>

<file path=xl/comments2.xml><?xml version="1.0" encoding="utf-8"?>
<comments xmlns="http://schemas.openxmlformats.org/spreadsheetml/2006/main">
  <authors>
    <author>Paola Tropea</author>
  </authors>
  <commentList>
    <comment ref="F12" authorId="0" shapeId="0">
      <text>
        <r>
          <rPr>
            <b/>
            <sz val="10"/>
            <color rgb="FF000000"/>
            <rFont val="Tahoma"/>
            <family val="2"/>
          </rPr>
          <t>Paola Tropea: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1 additional chamber for RE3/1 (new chamber) per each circuit - since new electronics, each has a power of 20 W instead of 10- I note on the column nb of chambers + 2 in order to have the correct power balance</t>
        </r>
      </text>
    </comment>
  </commentList>
</comments>
</file>

<file path=xl/comments3.xml><?xml version="1.0" encoding="utf-8"?>
<comments xmlns="http://schemas.openxmlformats.org/spreadsheetml/2006/main">
  <authors>
    <author>Paola Tropea</author>
  </authors>
  <commentList>
    <comment ref="F12" authorId="0" shapeId="0">
      <text>
        <r>
          <rPr>
            <b/>
            <sz val="10"/>
            <color rgb="FF000000"/>
            <rFont val="Tahoma"/>
            <family val="2"/>
          </rPr>
          <t>Paola Tropea: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1 additional chamber for RE3/1 (new chamber) per each circuit - since new electronics, each has a power of 20 W instead of 10- I note on the column nb of chambers + 2 in order to have the correct power balance</t>
        </r>
      </text>
    </comment>
  </commentList>
</comments>
</file>

<file path=xl/sharedStrings.xml><?xml version="1.0" encoding="utf-8"?>
<sst xmlns="http://schemas.openxmlformats.org/spreadsheetml/2006/main" count="646" uniqueCount="138">
  <si>
    <t>bar</t>
  </si>
  <si>
    <t>Tube/pipe OD</t>
  </si>
  <si>
    <t>Tube/pipe wall</t>
  </si>
  <si>
    <t>Units</t>
  </si>
  <si>
    <t>Flow rate</t>
  </si>
  <si>
    <t>C</t>
  </si>
  <si>
    <t>mm</t>
  </si>
  <si>
    <t>liter/min</t>
  </si>
  <si>
    <t>W</t>
  </si>
  <si>
    <t>Number of circuits</t>
  </si>
  <si>
    <t>ea</t>
  </si>
  <si>
    <r>
      <t>mm</t>
    </r>
    <r>
      <rPr>
        <vertAlign val="superscript"/>
        <sz val="10"/>
        <rFont val="Arial"/>
        <family val="2"/>
      </rPr>
      <t>2</t>
    </r>
  </si>
  <si>
    <t>YE2 periphery manifold</t>
  </si>
  <si>
    <t>Disk circuit</t>
  </si>
  <si>
    <t>m/sec</t>
  </si>
  <si>
    <t>Pressure drop (measured)</t>
  </si>
  <si>
    <t>YE2 cooling parameters</t>
  </si>
  <si>
    <t>Heat removal/circuit</t>
  </si>
  <si>
    <t>Rack cooling circuit</t>
  </si>
  <si>
    <t>Total flow</t>
  </si>
  <si>
    <t>Temperature rise</t>
  </si>
  <si>
    <t>Total temperature rise</t>
  </si>
  <si>
    <t>Heat removed</t>
  </si>
  <si>
    <t>Total Heat removed</t>
  </si>
  <si>
    <t>Heat removal capacity</t>
  </si>
  <si>
    <t>Tube/pipe ID</t>
  </si>
  <si>
    <t>Tube/pipe Area</t>
  </si>
  <si>
    <t>YE1 cooling parameters</t>
  </si>
  <si>
    <t>YE1 +X tower manifold</t>
  </si>
  <si>
    <t>YE1 -X tower manifold</t>
  </si>
  <si>
    <t>CSC cooling circuit ME/1/1</t>
  </si>
  <si>
    <t>RPC cooling circuit RE2</t>
  </si>
  <si>
    <t>YE3 cooling parameters</t>
  </si>
  <si>
    <t>YE3 periphery manifold</t>
  </si>
  <si>
    <t>RPC cooling circuit RE3</t>
  </si>
  <si>
    <t>1.6?</t>
  </si>
  <si>
    <t>CSC cooling circuit ME2/2, ME3/2</t>
  </si>
  <si>
    <t>CSC cooling circuit ME2/1, ME3/1</t>
  </si>
  <si>
    <t>Flow velocity</t>
  </si>
  <si>
    <t>CSC cooling circuit ME4/2</t>
  </si>
  <si>
    <t>CSC cooling circuit ME4/1</t>
  </si>
  <si>
    <t>2-4</t>
  </si>
  <si>
    <t>Reynolds</t>
  </si>
  <si>
    <t>unitless</t>
  </si>
  <si>
    <t>10.5psi/lvps</t>
  </si>
  <si>
    <t>CSC cooling circuit  ME/1/3</t>
  </si>
  <si>
    <t>CSC cooling circuit ME/1/2</t>
  </si>
  <si>
    <t>RPC cooling circuit  RE1/3</t>
  </si>
  <si>
    <t>RPC cooling circuit RE1/2</t>
  </si>
  <si>
    <t>Total flow-disk manifold</t>
  </si>
  <si>
    <t>Total flow-tower manifold</t>
  </si>
  <si>
    <t>LV periphery cable tray</t>
  </si>
  <si>
    <t>VME/ circuit (minirack)</t>
  </si>
  <si>
    <t>VME/CRBcircuit (minirack)</t>
  </si>
  <si>
    <t>Rack cooling circuit (low flow)</t>
  </si>
  <si>
    <t>Rack cooling circuit (high flow)</t>
  </si>
  <si>
    <t>lt/min</t>
  </si>
  <si>
    <t>Note: I believe that this number is uncertain because there are no flow restrictors in tower circuits.</t>
  </si>
  <si>
    <t>Note: Unpdated on Sept. 6,2007 to agree with Sergei's rack layout dated May 8,2007. Rack heat removals based on average requirement.</t>
  </si>
  <si>
    <t>VME/CRB circuit (minirack)</t>
  </si>
  <si>
    <t>RPC cooling circuit RE4</t>
  </si>
  <si>
    <t>m3/h</t>
  </si>
  <si>
    <t>ENDCAP COOLING CIRCUIT</t>
  </si>
  <si>
    <t>RACK COOLING CIRCUIT</t>
  </si>
  <si>
    <t>Original file by Armando</t>
  </si>
  <si>
    <t>Modification by PT to split Rack and Encap cooling circuit power/flow</t>
  </si>
  <si>
    <t>Data updated for RPC (mail of Salvatore)</t>
  </si>
  <si>
    <t>Upgrade needs added on Micha input</t>
  </si>
  <si>
    <t>ENDCAP circuit for 6 disks</t>
  </si>
  <si>
    <t>Heat removal/chamber</t>
  </si>
  <si>
    <t># chambers/circuit</t>
  </si>
  <si>
    <t>TOTAL YE1 periphery manifold</t>
  </si>
  <si>
    <t>ENDCAP CIRCUIT - same for YE+1 &amp; YE-1</t>
  </si>
  <si>
    <t>RACK CIRCUIT - same for YE+1 &amp; YE-1</t>
  </si>
  <si>
    <t>ENDCAP CIRCUIT - same for YE+2 &amp; YE-2</t>
  </si>
  <si>
    <t>ENDCAP CIRCUIT - same for YE+3 &amp; YE-3</t>
  </si>
  <si>
    <t>LS2</t>
  </si>
  <si>
    <t>GEM cooling circuit GE1/1</t>
  </si>
  <si>
    <t>GEM cooling circuit GE2/1</t>
  </si>
  <si>
    <t>GEM cooling circuit ME0</t>
  </si>
  <si>
    <t>#</t>
  </si>
  <si>
    <t>LS3</t>
  </si>
  <si>
    <t>YE3 UPGRADE cooling parameters</t>
  </si>
  <si>
    <t>YE2 UPGRADE cooling parameters</t>
  </si>
  <si>
    <t>YE1 UPGRADE cooling parameters</t>
  </si>
  <si>
    <t>Replacement of electronics LS2</t>
  </si>
  <si>
    <t xml:space="preserve">YE+1 and YE-1 </t>
  </si>
  <si>
    <t xml:space="preserve">YE+2 and YE-2 </t>
  </si>
  <si>
    <t xml:space="preserve">YE+3 &amp; YE-3 </t>
  </si>
  <si>
    <t xml:space="preserve">Flow-Heat Summary for full circuit </t>
  </si>
  <si>
    <t xml:space="preserve">GEM cooling circuit GE1/1- demostrator </t>
  </si>
  <si>
    <t>Heat removal/chamber-superchamber</t>
  </si>
  <si>
    <t>Micha input on details for CSC, Andrey input on GEMs</t>
  </si>
  <si>
    <t>Input of Michele &amp; C. on new power dissipations GEMs &amp; ME0 - Paola taking out non-muon powers for LS3</t>
  </si>
  <si>
    <t>kW</t>
  </si>
  <si>
    <t>Nominal</t>
  </si>
  <si>
    <t>LS21/2</t>
  </si>
  <si>
    <t xml:space="preserve">REMOVED </t>
  </si>
  <si>
    <t>LS2 constant flow</t>
  </si>
  <si>
    <t>LS3 constant flow</t>
  </si>
  <si>
    <t>IN LS3 NO CHANGES WITH RESPECT TO LS2 on YE2</t>
  </si>
  <si>
    <t>LS2 request</t>
  </si>
  <si>
    <t>ME4/1heat per circuit rises to 780 W instead of 370 W</t>
  </si>
  <si>
    <t>The YE3 manifold flow rate increase is half of the RE3 station namely 18 litres/min on a total of 161 [litres/min] .</t>
  </si>
  <si>
    <t>LS3-nominal</t>
  </si>
  <si>
    <t>LS2-nominal</t>
  </si>
  <si>
    <t>The RE3/1 cooling is taken off the RE3/2 and RE3/3 system so there is no more flow and a minimal 0.1degC increase</t>
  </si>
  <si>
    <r>
      <t>RPC cooling circuit RE4/1</t>
    </r>
    <r>
      <rPr>
        <b/>
        <sz val="10"/>
        <rFont val="Arial"/>
        <family val="2"/>
      </rPr>
      <t xml:space="preserve"> </t>
    </r>
  </si>
  <si>
    <t>The RE4/1 cooling is taken off the mini-manifolds of the other RE4 stations, using "T"s with 9 circuits out of 18 existing, giving a similar temp increase as the RE3 station.</t>
  </si>
  <si>
    <t>RPC upgrade chambers to be installed btween LS2 and LS3</t>
  </si>
  <si>
    <t>Measures '17/'18</t>
  </si>
  <si>
    <t>P. Tropea summary update</t>
  </si>
  <si>
    <t>LS3-LS2</t>
  </si>
  <si>
    <t>Changes for LS2</t>
  </si>
  <si>
    <t xml:space="preserve">GEM demostrator power is taken out </t>
  </si>
  <si>
    <t>GE1/1 installed and powered</t>
  </si>
  <si>
    <t>GE2/1 cooling prepared</t>
  </si>
  <si>
    <t>IN LS3 NO CHANGES WITH RESPECT TO LS2 on YE3</t>
  </si>
  <si>
    <t>Disk flow rate</t>
  </si>
  <si>
    <t>The disk cooling circuit is fed with potentially 4 m3/h, a test in LS2 shall be done to verify the numbers and see the impact of closing such circuits on the overall muon chamber temperature</t>
  </si>
  <si>
    <t>RPC cooling circuit RE1/1</t>
  </si>
  <si>
    <t xml:space="preserve">EE cable tray/link boards </t>
  </si>
  <si>
    <t>EE cable tray</t>
  </si>
  <si>
    <t>RBX</t>
  </si>
  <si>
    <t>P. Tropea update with RPC chamber power dissipation (10 W/chamber for present chambers, 20 W/chamber for RE3/1 and RE4/1) and GEM "high flow" request for LS3</t>
  </si>
  <si>
    <t>Added RBX power dissipation</t>
  </si>
  <si>
    <t>Changed naming for cable trays cooling which was called "HE" and is now "EE"</t>
  </si>
  <si>
    <t>RE1/1 goes away and is replaced by GE1/1</t>
  </si>
  <si>
    <t>Changes for LS3</t>
  </si>
  <si>
    <t>RBX disappear</t>
  </si>
  <si>
    <t>EE cable tray and LV perifery cable tray go away (need for cable tray cooling for CE taken on rack circuit on Ex EE manifold)</t>
  </si>
  <si>
    <t>CSC double power dissipation and flow requst</t>
  </si>
  <si>
    <t>NONE</t>
  </si>
  <si>
    <t>1 chamber more per cooling circuit on RE3 spigots: on table the number of chambers is 6 and not 5 in order to take into account the power dissipation of the RE3/1 chambers which is 20 W instead of 10 as old chambers</t>
  </si>
  <si>
    <t>P. Tropea change of GEM flow for LS2 as from M. Bianco request</t>
  </si>
  <si>
    <t xml:space="preserve">Inputs from Muon subsystems </t>
  </si>
  <si>
    <t>Flow not accounted since in series with RBXs</t>
  </si>
  <si>
    <t>FOR RE1/1: Flow not accounted since in series with RBXs - RE1/1 only on +end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</si>
</sst>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3" x14ac:knownFonts="1">
    <font>
      <sz val="10"/>
      <name val="Arial"/>
      <family val="2"/>
    </font>
    <font>
      <b/>
      <sz val="10"/>
      <name val="Arial"/>
      <family val="2"/>
    </font>
    <font>
      <vertAlign val="superscript"/>
      <sz val="10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FF0000"/>
      <name val="Arial"/>
      <family val="2"/>
    </font>
    <font>
      <sz val="10"/>
      <color rgb="FF000000"/>
      <name val="Tahoma"/>
      <family val="2"/>
    </font>
    <font>
      <b/>
      <sz val="10"/>
      <color rgb="FF000000"/>
      <name val="Tahoma"/>
      <family val="2"/>
    </font>
  </fonts>
  <fills count="18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DE9D9"/>
        <bgColor rgb="FF000000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45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right"/>
    </xf>
    <xf numFmtId="0" fontId="0" fillId="0" borderId="1" xfId="0" applyBorder="1"/>
    <xf numFmtId="0" fontId="0" fillId="0" borderId="1" xfId="0" applyBorder="1" applyAlignment="1">
      <alignment horizontal="right"/>
    </xf>
    <xf numFmtId="164" fontId="0" fillId="0" borderId="1" xfId="0" applyNumberFormat="1" applyBorder="1" applyAlignment="1">
      <alignment horizontal="right"/>
    </xf>
    <xf numFmtId="1" fontId="0" fillId="0" borderId="1" xfId="0" applyNumberFormat="1" applyBorder="1" applyAlignment="1">
      <alignment horizontal="right"/>
    </xf>
    <xf numFmtId="0" fontId="0" fillId="0" borderId="0" xfId="0" applyBorder="1" applyAlignment="1">
      <alignment horizontal="right" wrapText="1"/>
    </xf>
    <xf numFmtId="164" fontId="0" fillId="0" borderId="0" xfId="0" applyNumberFormat="1" applyBorder="1" applyAlignment="1">
      <alignment horizontal="right"/>
    </xf>
    <xf numFmtId="1" fontId="0" fillId="0" borderId="0" xfId="0" applyNumberFormat="1" applyBorder="1" applyAlignment="1">
      <alignment horizontal="right"/>
    </xf>
    <xf numFmtId="0" fontId="0" fillId="0" borderId="0" xfId="0" applyBorder="1" applyAlignment="1">
      <alignment horizontal="right"/>
    </xf>
    <xf numFmtId="0" fontId="0" fillId="0" borderId="0" xfId="0" applyBorder="1" applyAlignment="1">
      <alignment wrapText="1"/>
    </xf>
    <xf numFmtId="0" fontId="0" fillId="0" borderId="0" xfId="0" applyBorder="1"/>
    <xf numFmtId="0" fontId="0" fillId="2" borderId="1" xfId="0" applyFill="1" applyBorder="1"/>
    <xf numFmtId="0" fontId="0" fillId="2" borderId="1" xfId="0" applyFill="1" applyBorder="1" applyAlignment="1">
      <alignment horizontal="right" wrapText="1"/>
    </xf>
    <xf numFmtId="0" fontId="3" fillId="2" borderId="1" xfId="0" applyFont="1" applyFill="1" applyBorder="1" applyAlignment="1">
      <alignment horizontal="right" wrapText="1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right"/>
    </xf>
    <xf numFmtId="1" fontId="1" fillId="3" borderId="1" xfId="0" applyNumberFormat="1" applyFont="1" applyFill="1" applyBorder="1" applyAlignment="1">
      <alignment horizontal="right"/>
    </xf>
    <xf numFmtId="164" fontId="1" fillId="3" borderId="1" xfId="0" applyNumberFormat="1" applyFont="1" applyFill="1" applyBorder="1" applyAlignment="1">
      <alignment horizontal="right"/>
    </xf>
    <xf numFmtId="0" fontId="4" fillId="0" borderId="0" xfId="0" applyFont="1" applyFill="1"/>
    <xf numFmtId="0" fontId="4" fillId="0" borderId="0" xfId="0" applyFont="1"/>
    <xf numFmtId="164" fontId="0" fillId="0" borderId="2" xfId="0" applyNumberFormat="1" applyBorder="1" applyAlignment="1">
      <alignment horizontal="right"/>
    </xf>
    <xf numFmtId="0" fontId="0" fillId="2" borderId="3" xfId="0" applyFill="1" applyBorder="1" applyAlignment="1">
      <alignment horizontal="right" wrapText="1"/>
    </xf>
    <xf numFmtId="1" fontId="0" fillId="0" borderId="4" xfId="0" applyNumberFormat="1" applyBorder="1" applyAlignment="1">
      <alignment horizontal="right"/>
    </xf>
    <xf numFmtId="0" fontId="0" fillId="0" borderId="5" xfId="0" applyBorder="1" applyAlignment="1">
      <alignment horizontal="right"/>
    </xf>
    <xf numFmtId="0" fontId="0" fillId="0" borderId="3" xfId="0" applyBorder="1" applyAlignment="1">
      <alignment horizontal="right"/>
    </xf>
    <xf numFmtId="16" fontId="0" fillId="0" borderId="1" xfId="0" quotePrefix="1" applyNumberFormat="1" applyBorder="1" applyAlignment="1">
      <alignment horizontal="right"/>
    </xf>
    <xf numFmtId="0" fontId="0" fillId="0" borderId="4" xfId="0" applyBorder="1" applyAlignment="1">
      <alignment horizontal="right"/>
    </xf>
    <xf numFmtId="0" fontId="0" fillId="4" borderId="1" xfId="0" applyFill="1" applyBorder="1" applyAlignment="1">
      <alignment horizontal="right"/>
    </xf>
    <xf numFmtId="1" fontId="0" fillId="0" borderId="1" xfId="0" applyNumberFormat="1" applyFill="1" applyBorder="1" applyAlignment="1">
      <alignment horizontal="right"/>
    </xf>
    <xf numFmtId="164" fontId="0" fillId="0" borderId="1" xfId="0" applyNumberFormat="1" applyFill="1" applyBorder="1" applyAlignment="1">
      <alignment horizontal="right"/>
    </xf>
    <xf numFmtId="0" fontId="0" fillId="0" borderId="1" xfId="0" applyFill="1" applyBorder="1" applyAlignment="1">
      <alignment horizontal="right"/>
    </xf>
    <xf numFmtId="0" fontId="0" fillId="0" borderId="0" xfId="0" applyFill="1"/>
    <xf numFmtId="0" fontId="5" fillId="0" borderId="0" xfId="0" applyFont="1" applyFill="1"/>
    <xf numFmtId="0" fontId="1" fillId="0" borderId="0" xfId="0" applyFont="1" applyFill="1" applyBorder="1"/>
    <xf numFmtId="0" fontId="0" fillId="0" borderId="6" xfId="0" applyBorder="1" applyAlignment="1"/>
    <xf numFmtId="15" fontId="0" fillId="0" borderId="0" xfId="0" applyNumberFormat="1"/>
    <xf numFmtId="1" fontId="0" fillId="4" borderId="1" xfId="0" applyNumberFormat="1" applyFill="1" applyBorder="1" applyAlignment="1">
      <alignment horizontal="right"/>
    </xf>
    <xf numFmtId="1" fontId="0" fillId="4" borderId="0" xfId="0" applyNumberFormat="1" applyFill="1" applyBorder="1" applyAlignment="1">
      <alignment horizontal="right"/>
    </xf>
    <xf numFmtId="0" fontId="0" fillId="4" borderId="0" xfId="0" applyFill="1"/>
    <xf numFmtId="0" fontId="1" fillId="0" borderId="0" xfId="0" applyFont="1" applyFill="1" applyBorder="1" applyAlignment="1">
      <alignment horizontal="right"/>
    </xf>
    <xf numFmtId="164" fontId="1" fillId="0" borderId="0" xfId="0" applyNumberFormat="1" applyFont="1" applyFill="1" applyBorder="1" applyAlignment="1">
      <alignment horizontal="right"/>
    </xf>
    <xf numFmtId="164" fontId="0" fillId="5" borderId="1" xfId="0" applyNumberFormat="1" applyFill="1" applyBorder="1" applyAlignment="1">
      <alignment horizontal="right"/>
    </xf>
    <xf numFmtId="1" fontId="0" fillId="5" borderId="1" xfId="0" applyNumberFormat="1" applyFill="1" applyBorder="1" applyAlignment="1">
      <alignment horizontal="right"/>
    </xf>
    <xf numFmtId="0" fontId="0" fillId="5" borderId="1" xfId="0" applyFill="1" applyBorder="1" applyAlignment="1">
      <alignment horizontal="right"/>
    </xf>
    <xf numFmtId="0" fontId="0" fillId="5" borderId="2" xfId="0" applyFill="1" applyBorder="1" applyAlignment="1">
      <alignment horizontal="right"/>
    </xf>
    <xf numFmtId="0" fontId="1" fillId="5" borderId="1" xfId="0" applyFont="1" applyFill="1" applyBorder="1" applyAlignment="1">
      <alignment horizontal="right" wrapText="1"/>
    </xf>
    <xf numFmtId="1" fontId="0" fillId="0" borderId="0" xfId="0" applyNumberFormat="1"/>
    <xf numFmtId="0" fontId="0" fillId="4" borderId="0" xfId="0" applyFill="1" applyBorder="1" applyAlignment="1">
      <alignment horizontal="right"/>
    </xf>
    <xf numFmtId="164" fontId="0" fillId="4" borderId="0" xfId="0" applyNumberFormat="1" applyFill="1" applyBorder="1" applyAlignment="1">
      <alignment horizontal="right"/>
    </xf>
    <xf numFmtId="0" fontId="0" fillId="6" borderId="1" xfId="0" applyFill="1" applyBorder="1" applyAlignment="1">
      <alignment horizontal="right" wrapText="1"/>
    </xf>
    <xf numFmtId="0" fontId="1" fillId="6" borderId="1" xfId="0" applyFont="1" applyFill="1" applyBorder="1"/>
    <xf numFmtId="0" fontId="1" fillId="6" borderId="1" xfId="0" applyFont="1" applyFill="1" applyBorder="1" applyAlignment="1">
      <alignment horizontal="right"/>
    </xf>
    <xf numFmtId="1" fontId="1" fillId="6" borderId="1" xfId="0" applyNumberFormat="1" applyFont="1" applyFill="1" applyBorder="1" applyAlignment="1">
      <alignment horizontal="right"/>
    </xf>
    <xf numFmtId="164" fontId="1" fillId="6" borderId="1" xfId="0" applyNumberFormat="1" applyFont="1" applyFill="1" applyBorder="1" applyAlignment="1">
      <alignment horizontal="right"/>
    </xf>
    <xf numFmtId="0" fontId="1" fillId="0" borderId="1" xfId="0" applyFont="1" applyFill="1" applyBorder="1"/>
    <xf numFmtId="0" fontId="1" fillId="0" borderId="1" xfId="0" applyFont="1" applyFill="1" applyBorder="1" applyAlignment="1">
      <alignment horizontal="right"/>
    </xf>
    <xf numFmtId="164" fontId="1" fillId="0" borderId="1" xfId="0" applyNumberFormat="1" applyFont="1" applyFill="1" applyBorder="1" applyAlignment="1">
      <alignment horizontal="right"/>
    </xf>
    <xf numFmtId="0" fontId="0" fillId="0" borderId="0" xfId="0" applyFill="1" applyBorder="1"/>
    <xf numFmtId="0" fontId="0" fillId="0" borderId="0" xfId="0" applyFont="1" applyFill="1" applyBorder="1"/>
    <xf numFmtId="1" fontId="1" fillId="0" borderId="0" xfId="0" applyNumberFormat="1" applyFont="1" applyFill="1" applyBorder="1" applyAlignment="1">
      <alignment horizontal="right"/>
    </xf>
    <xf numFmtId="0" fontId="1" fillId="0" borderId="0" xfId="0" applyFont="1"/>
    <xf numFmtId="164" fontId="1" fillId="7" borderId="1" xfId="0" applyNumberFormat="1" applyFont="1" applyFill="1" applyBorder="1" applyAlignment="1">
      <alignment horizontal="right"/>
    </xf>
    <xf numFmtId="0" fontId="0" fillId="0" borderId="0" xfId="0" applyFont="1" applyFill="1" applyBorder="1" applyAlignment="1"/>
    <xf numFmtId="0" fontId="0" fillId="0" borderId="0" xfId="0" applyFont="1" applyFill="1" applyBorder="1" applyAlignment="1">
      <alignment wrapText="1"/>
    </xf>
    <xf numFmtId="164" fontId="0" fillId="0" borderId="0" xfId="0" applyNumberFormat="1" applyFill="1" applyBorder="1"/>
    <xf numFmtId="0" fontId="0" fillId="8" borderId="1" xfId="0" applyFill="1" applyBorder="1" applyAlignment="1">
      <alignment horizontal="right" wrapText="1"/>
    </xf>
    <xf numFmtId="0" fontId="0" fillId="0" borderId="7" xfId="0" applyBorder="1" applyAlignment="1">
      <alignment horizontal="right"/>
    </xf>
    <xf numFmtId="0" fontId="6" fillId="9" borderId="1" xfId="0" applyFont="1" applyFill="1" applyBorder="1" applyAlignment="1">
      <alignment horizontal="right" wrapText="1"/>
    </xf>
    <xf numFmtId="164" fontId="0" fillId="0" borderId="0" xfId="0" applyNumberFormat="1" applyFill="1" applyBorder="1" applyAlignment="1">
      <alignment horizontal="right"/>
    </xf>
    <xf numFmtId="1" fontId="0" fillId="0" borderId="0" xfId="0" applyNumberFormat="1" applyFill="1" applyBorder="1" applyAlignment="1">
      <alignment horizontal="right"/>
    </xf>
    <xf numFmtId="0" fontId="0" fillId="0" borderId="0" xfId="0" applyFill="1" applyBorder="1" applyAlignment="1">
      <alignment horizontal="right"/>
    </xf>
    <xf numFmtId="0" fontId="0" fillId="4" borderId="4" xfId="0" applyFill="1" applyBorder="1" applyAlignment="1">
      <alignment horizontal="right"/>
    </xf>
    <xf numFmtId="164" fontId="0" fillId="4" borderId="1" xfId="0" applyNumberFormat="1" applyFill="1" applyBorder="1" applyAlignment="1">
      <alignment horizontal="right"/>
    </xf>
    <xf numFmtId="0" fontId="0" fillId="4" borderId="1" xfId="0" applyFill="1" applyBorder="1" applyAlignment="1">
      <alignment horizontal="right" wrapText="1"/>
    </xf>
    <xf numFmtId="1" fontId="1" fillId="10" borderId="1" xfId="0" applyNumberFormat="1" applyFont="1" applyFill="1" applyBorder="1" applyAlignment="1">
      <alignment horizontal="right"/>
    </xf>
    <xf numFmtId="164" fontId="1" fillId="10" borderId="1" xfId="0" applyNumberFormat="1" applyFont="1" applyFill="1" applyBorder="1" applyAlignment="1">
      <alignment horizontal="right"/>
    </xf>
    <xf numFmtId="164" fontId="1" fillId="3" borderId="2" xfId="0" applyNumberFormat="1" applyFont="1" applyFill="1" applyBorder="1" applyAlignment="1">
      <alignment horizontal="right"/>
    </xf>
    <xf numFmtId="164" fontId="0" fillId="0" borderId="4" xfId="0" applyNumberFormat="1" applyFill="1" applyBorder="1" applyAlignment="1">
      <alignment horizontal="right"/>
    </xf>
    <xf numFmtId="164" fontId="0" fillId="0" borderId="7" xfId="0" applyNumberFormat="1" applyFill="1" applyBorder="1" applyAlignment="1">
      <alignment horizontal="right"/>
    </xf>
    <xf numFmtId="0" fontId="0" fillId="0" borderId="4" xfId="0" applyFill="1" applyBorder="1" applyAlignment="1">
      <alignment horizontal="right"/>
    </xf>
    <xf numFmtId="1" fontId="0" fillId="0" borderId="4" xfId="0" applyNumberFormat="1" applyFill="1" applyBorder="1" applyAlignment="1">
      <alignment horizontal="right"/>
    </xf>
    <xf numFmtId="1" fontId="0" fillId="0" borderId="7" xfId="0" applyNumberFormat="1" applyFill="1" applyBorder="1" applyAlignment="1">
      <alignment horizontal="right"/>
    </xf>
    <xf numFmtId="0" fontId="0" fillId="0" borderId="7" xfId="0" applyFill="1" applyBorder="1" applyAlignment="1">
      <alignment horizontal="right"/>
    </xf>
    <xf numFmtId="0" fontId="1" fillId="0" borderId="0" xfId="0" applyFont="1" applyFill="1" applyBorder="1" applyAlignment="1">
      <alignment horizontal="center"/>
    </xf>
    <xf numFmtId="0" fontId="0" fillId="11" borderId="0" xfId="0" applyFill="1"/>
    <xf numFmtId="0" fontId="6" fillId="11" borderId="1" xfId="0" applyFont="1" applyFill="1" applyBorder="1" applyAlignment="1">
      <alignment horizontal="right" wrapText="1"/>
    </xf>
    <xf numFmtId="164" fontId="0" fillId="11" borderId="7" xfId="0" applyNumberFormat="1" applyFill="1" applyBorder="1" applyAlignment="1">
      <alignment horizontal="right"/>
    </xf>
    <xf numFmtId="1" fontId="0" fillId="11" borderId="1" xfId="0" applyNumberFormat="1" applyFill="1" applyBorder="1" applyAlignment="1">
      <alignment horizontal="right"/>
    </xf>
    <xf numFmtId="0" fontId="0" fillId="11" borderId="4" xfId="0" applyFill="1" applyBorder="1" applyAlignment="1">
      <alignment horizontal="right"/>
    </xf>
    <xf numFmtId="164" fontId="0" fillId="11" borderId="1" xfId="0" applyNumberFormat="1" applyFill="1" applyBorder="1" applyAlignment="1">
      <alignment horizontal="right"/>
    </xf>
    <xf numFmtId="1" fontId="0" fillId="11" borderId="7" xfId="0" applyNumberFormat="1" applyFill="1" applyBorder="1" applyAlignment="1">
      <alignment horizontal="right"/>
    </xf>
    <xf numFmtId="1" fontId="0" fillId="11" borderId="4" xfId="0" applyNumberFormat="1" applyFill="1" applyBorder="1" applyAlignment="1">
      <alignment horizontal="right"/>
    </xf>
    <xf numFmtId="0" fontId="0" fillId="11" borderId="7" xfId="0" applyFill="1" applyBorder="1" applyAlignment="1">
      <alignment horizontal="right"/>
    </xf>
    <xf numFmtId="0" fontId="0" fillId="11" borderId="1" xfId="0" applyFill="1" applyBorder="1" applyAlignment="1">
      <alignment horizontal="right"/>
    </xf>
    <xf numFmtId="0" fontId="0" fillId="11" borderId="0" xfId="0" applyFill="1" applyAlignment="1">
      <alignment horizontal="right"/>
    </xf>
    <xf numFmtId="0" fontId="0" fillId="12" borderId="0" xfId="0" applyFill="1"/>
    <xf numFmtId="0" fontId="3" fillId="12" borderId="1" xfId="0" applyFont="1" applyFill="1" applyBorder="1" applyAlignment="1">
      <alignment horizontal="right" wrapText="1"/>
    </xf>
    <xf numFmtId="0" fontId="0" fillId="12" borderId="1" xfId="0" applyFill="1" applyBorder="1" applyAlignment="1">
      <alignment horizontal="right" wrapText="1"/>
    </xf>
    <xf numFmtId="164" fontId="0" fillId="12" borderId="1" xfId="0" applyNumberFormat="1" applyFill="1" applyBorder="1" applyAlignment="1">
      <alignment horizontal="right"/>
    </xf>
    <xf numFmtId="1" fontId="0" fillId="12" borderId="1" xfId="0" applyNumberFormat="1" applyFill="1" applyBorder="1" applyAlignment="1">
      <alignment horizontal="right"/>
    </xf>
    <xf numFmtId="0" fontId="0" fillId="12" borderId="1" xfId="0" applyFill="1" applyBorder="1" applyAlignment="1">
      <alignment horizontal="right"/>
    </xf>
    <xf numFmtId="0" fontId="0" fillId="12" borderId="3" xfId="0" applyFill="1" applyBorder="1" applyAlignment="1">
      <alignment horizontal="right"/>
    </xf>
    <xf numFmtId="0" fontId="0" fillId="12" borderId="4" xfId="0" applyFill="1" applyBorder="1" applyAlignment="1">
      <alignment horizontal="right"/>
    </xf>
    <xf numFmtId="0" fontId="0" fillId="12" borderId="1" xfId="0" applyFill="1" applyBorder="1"/>
    <xf numFmtId="0" fontId="0" fillId="12" borderId="0" xfId="0" applyFill="1" applyBorder="1"/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164" fontId="0" fillId="9" borderId="2" xfId="0" applyNumberFormat="1" applyFill="1" applyBorder="1" applyAlignment="1">
      <alignment horizontal="right"/>
    </xf>
    <xf numFmtId="1" fontId="0" fillId="9" borderId="1" xfId="0" applyNumberFormat="1" applyFill="1" applyBorder="1" applyAlignment="1">
      <alignment horizontal="right"/>
    </xf>
    <xf numFmtId="164" fontId="0" fillId="9" borderId="1" xfId="0" applyNumberFormat="1" applyFill="1" applyBorder="1" applyAlignment="1">
      <alignment horizontal="right"/>
    </xf>
    <xf numFmtId="0" fontId="0" fillId="9" borderId="1" xfId="0" applyFill="1" applyBorder="1" applyAlignment="1">
      <alignment horizontal="right"/>
    </xf>
    <xf numFmtId="164" fontId="1" fillId="4" borderId="1" xfId="0" applyNumberFormat="1" applyFont="1" applyFill="1" applyBorder="1" applyAlignment="1">
      <alignment horizontal="right"/>
    </xf>
    <xf numFmtId="164" fontId="1" fillId="4" borderId="2" xfId="0" applyNumberFormat="1" applyFont="1" applyFill="1" applyBorder="1" applyAlignment="1">
      <alignment horizontal="right"/>
    </xf>
    <xf numFmtId="164" fontId="1" fillId="13" borderId="2" xfId="0" applyNumberFormat="1" applyFont="1" applyFill="1" applyBorder="1" applyAlignment="1">
      <alignment horizontal="right"/>
    </xf>
    <xf numFmtId="164" fontId="1" fillId="13" borderId="1" xfId="0" applyNumberFormat="1" applyFont="1" applyFill="1" applyBorder="1" applyAlignment="1">
      <alignment horizontal="right"/>
    </xf>
    <xf numFmtId="0" fontId="0" fillId="0" borderId="0" xfId="0" applyFill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10" fillId="0" borderId="0" xfId="0" applyFont="1" applyFill="1"/>
    <xf numFmtId="0" fontId="10" fillId="0" borderId="0" xfId="0" applyFont="1" applyFill="1" applyBorder="1"/>
    <xf numFmtId="0" fontId="1" fillId="10" borderId="0" xfId="0" applyFont="1" applyFill="1" applyAlignment="1">
      <alignment horizontal="center" vertical="center" wrapText="1"/>
    </xf>
    <xf numFmtId="0" fontId="0" fillId="0" borderId="3" xfId="0" applyFill="1" applyBorder="1" applyAlignment="1">
      <alignment horizontal="right"/>
    </xf>
    <xf numFmtId="0" fontId="0" fillId="0" borderId="0" xfId="0" applyAlignment="1"/>
    <xf numFmtId="164" fontId="0" fillId="4" borderId="2" xfId="0" applyNumberFormat="1" applyFill="1" applyBorder="1" applyAlignment="1">
      <alignment horizontal="right"/>
    </xf>
    <xf numFmtId="164" fontId="0" fillId="0" borderId="2" xfId="0" applyNumberFormat="1" applyFill="1" applyBorder="1" applyAlignment="1">
      <alignment horizontal="right"/>
    </xf>
    <xf numFmtId="1" fontId="0" fillId="0" borderId="2" xfId="0" applyNumberFormat="1" applyFill="1" applyBorder="1" applyAlignment="1">
      <alignment horizontal="right"/>
    </xf>
    <xf numFmtId="1" fontId="0" fillId="14" borderId="1" xfId="0" applyNumberFormat="1" applyFill="1" applyBorder="1" applyAlignment="1">
      <alignment horizontal="right"/>
    </xf>
    <xf numFmtId="0" fontId="0" fillId="15" borderId="1" xfId="0" applyFill="1" applyBorder="1" applyAlignment="1">
      <alignment horizontal="right"/>
    </xf>
    <xf numFmtId="164" fontId="1" fillId="15" borderId="1" xfId="0" applyNumberFormat="1" applyFont="1" applyFill="1" applyBorder="1" applyAlignment="1">
      <alignment horizontal="right"/>
    </xf>
    <xf numFmtId="164" fontId="0" fillId="16" borderId="1" xfId="0" applyNumberFormat="1" applyFill="1" applyBorder="1" applyAlignment="1">
      <alignment horizontal="right"/>
    </xf>
    <xf numFmtId="0" fontId="0" fillId="16" borderId="1" xfId="0" applyFill="1" applyBorder="1" applyAlignment="1">
      <alignment horizontal="right"/>
    </xf>
    <xf numFmtId="0" fontId="1" fillId="4" borderId="0" xfId="0" applyFont="1" applyFill="1" applyBorder="1"/>
    <xf numFmtId="164" fontId="0" fillId="0" borderId="8" xfId="0" applyNumberFormat="1" applyFont="1" applyFill="1" applyBorder="1" applyAlignment="1">
      <alignment horizontal="left" wrapText="1"/>
    </xf>
    <xf numFmtId="164" fontId="0" fillId="0" borderId="0" xfId="0" applyNumberFormat="1" applyFont="1" applyFill="1" applyBorder="1" applyAlignment="1">
      <alignment horizontal="left" wrapText="1"/>
    </xf>
    <xf numFmtId="0" fontId="0" fillId="0" borderId="6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 wrapText="1"/>
    </xf>
    <xf numFmtId="0" fontId="1" fillId="6" borderId="0" xfId="0" applyFont="1" applyFill="1" applyBorder="1"/>
    <xf numFmtId="164" fontId="0" fillId="17" borderId="1" xfId="0" applyNumberFormat="1" applyFill="1" applyBorder="1" applyAlignment="1">
      <alignment horizontal="right"/>
    </xf>
    <xf numFmtId="1" fontId="0" fillId="17" borderId="1" xfId="0" applyNumberFormat="1" applyFill="1" applyBorder="1" applyAlignment="1">
      <alignment horizontal="right"/>
    </xf>
    <xf numFmtId="0" fontId="0" fillId="17" borderId="1" xfId="0" applyFill="1" applyBorder="1" applyAlignment="1">
      <alignment horizontal="right"/>
    </xf>
    <xf numFmtId="0" fontId="0" fillId="17" borderId="0" xfId="0" applyFill="1"/>
    <xf numFmtId="0" fontId="0" fillId="17" borderId="1" xfId="0" applyFill="1" applyBorder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"/>
  <sheetViews>
    <sheetView workbookViewId="0">
      <selection activeCell="B12" sqref="B12"/>
    </sheetView>
  </sheetViews>
  <sheetFormatPr defaultColWidth="11.42578125" defaultRowHeight="12.75" x14ac:dyDescent="0.2"/>
  <sheetData>
    <row r="1" spans="1:2" x14ac:dyDescent="0.2">
      <c r="A1" s="37">
        <v>42402</v>
      </c>
      <c r="B1" t="s">
        <v>64</v>
      </c>
    </row>
    <row r="2" spans="1:2" x14ac:dyDescent="0.2">
      <c r="A2" s="37">
        <v>42405</v>
      </c>
      <c r="B2" t="s">
        <v>65</v>
      </c>
    </row>
    <row r="3" spans="1:2" x14ac:dyDescent="0.2">
      <c r="A3" s="37">
        <v>42409</v>
      </c>
      <c r="B3" t="s">
        <v>66</v>
      </c>
    </row>
    <row r="4" spans="1:2" x14ac:dyDescent="0.2">
      <c r="A4" s="37">
        <v>42935</v>
      </c>
      <c r="B4" t="s">
        <v>67</v>
      </c>
    </row>
    <row r="5" spans="1:2" x14ac:dyDescent="0.2">
      <c r="A5" s="37">
        <v>42936</v>
      </c>
      <c r="B5" t="s">
        <v>92</v>
      </c>
    </row>
    <row r="6" spans="1:2" x14ac:dyDescent="0.2">
      <c r="A6" s="37">
        <v>43417</v>
      </c>
      <c r="B6" t="s">
        <v>93</v>
      </c>
    </row>
    <row r="7" spans="1:2" x14ac:dyDescent="0.2">
      <c r="A7" s="37">
        <v>43418</v>
      </c>
      <c r="B7" t="s">
        <v>111</v>
      </c>
    </row>
    <row r="8" spans="1:2" x14ac:dyDescent="0.2">
      <c r="A8" s="37">
        <v>43426</v>
      </c>
      <c r="B8" t="s">
        <v>124</v>
      </c>
    </row>
    <row r="9" spans="1:2" x14ac:dyDescent="0.2">
      <c r="B9" t="s">
        <v>125</v>
      </c>
    </row>
    <row r="10" spans="1:2" x14ac:dyDescent="0.2">
      <c r="B10" t="s">
        <v>126</v>
      </c>
    </row>
    <row r="11" spans="1:2" x14ac:dyDescent="0.2">
      <c r="A11" s="37">
        <v>43438</v>
      </c>
      <c r="B11" t="s">
        <v>134</v>
      </c>
    </row>
    <row r="12" spans="1:2" x14ac:dyDescent="0.2">
      <c r="A12" s="37">
        <v>43448</v>
      </c>
      <c r="B12" t="s">
        <v>135</v>
      </c>
    </row>
  </sheetData>
  <pageMargins left="0.75" right="0.75" top="1" bottom="1" header="0.3" footer="0.3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A35"/>
  <sheetViews>
    <sheetView showGridLines="0" zoomScale="140" zoomScaleNormal="140" workbookViewId="0">
      <selection activeCell="E8" sqref="E8"/>
    </sheetView>
  </sheetViews>
  <sheetFormatPr defaultColWidth="8.85546875" defaultRowHeight="12.75" x14ac:dyDescent="0.2"/>
  <cols>
    <col min="1" max="1" width="22.7109375" customWidth="1"/>
    <col min="2" max="2" width="7.7109375" customWidth="1"/>
    <col min="3" max="3" width="8.7109375" customWidth="1"/>
    <col min="4" max="7" width="7.7109375" customWidth="1"/>
    <col min="8" max="8" width="10.140625" customWidth="1"/>
    <col min="9" max="9" width="7.7109375" customWidth="1"/>
    <col min="10" max="10" width="8.7109375" customWidth="1"/>
    <col min="11" max="11" width="7.7109375" customWidth="1"/>
    <col min="12" max="12" width="9" customWidth="1"/>
    <col min="13" max="53" width="8.85546875" style="59"/>
  </cols>
  <sheetData>
    <row r="1" spans="1:53" ht="18" x14ac:dyDescent="0.25">
      <c r="A1" s="20" t="s">
        <v>82</v>
      </c>
      <c r="E1" t="s">
        <v>85</v>
      </c>
    </row>
    <row r="2" spans="1:53" x14ac:dyDescent="0.2"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</row>
    <row r="3" spans="1:53" ht="63.75" x14ac:dyDescent="0.2">
      <c r="A3" s="11"/>
      <c r="B3" s="14" t="s">
        <v>3</v>
      </c>
      <c r="C3" s="47" t="s">
        <v>33</v>
      </c>
      <c r="D3" s="14" t="s">
        <v>39</v>
      </c>
      <c r="E3" s="69" t="s">
        <v>40</v>
      </c>
      <c r="F3" s="14" t="s">
        <v>34</v>
      </c>
      <c r="G3" s="14" t="s">
        <v>60</v>
      </c>
      <c r="H3" s="75" t="s">
        <v>107</v>
      </c>
      <c r="I3" s="14" t="s">
        <v>13</v>
      </c>
      <c r="J3" s="15" t="s">
        <v>53</v>
      </c>
      <c r="K3" s="14" t="s">
        <v>54</v>
      </c>
      <c r="L3" s="14" t="s">
        <v>55</v>
      </c>
    </row>
    <row r="4" spans="1:53" x14ac:dyDescent="0.2">
      <c r="A4" s="13" t="s">
        <v>1</v>
      </c>
      <c r="B4" s="4" t="s">
        <v>6</v>
      </c>
      <c r="C4" s="43">
        <v>48.26</v>
      </c>
      <c r="D4" s="5">
        <v>9.5250000000000004</v>
      </c>
      <c r="E4" s="110">
        <v>9.5250000000000004</v>
      </c>
      <c r="F4" s="5">
        <v>8</v>
      </c>
      <c r="G4" s="5">
        <v>8</v>
      </c>
      <c r="H4" s="125">
        <v>8</v>
      </c>
      <c r="I4" s="5">
        <v>12.7</v>
      </c>
      <c r="J4" s="5">
        <v>12.7</v>
      </c>
      <c r="K4" s="5">
        <v>12.7</v>
      </c>
      <c r="L4" s="5">
        <v>12.7</v>
      </c>
      <c r="N4" s="66"/>
      <c r="O4" s="66"/>
      <c r="P4" s="66"/>
      <c r="Q4" s="66"/>
      <c r="R4" s="66"/>
      <c r="S4" s="66"/>
      <c r="T4" s="66"/>
      <c r="U4" s="66"/>
      <c r="V4" s="66"/>
      <c r="W4" s="66"/>
    </row>
    <row r="5" spans="1:53" x14ac:dyDescent="0.2">
      <c r="A5" s="13" t="s">
        <v>2</v>
      </c>
      <c r="B5" s="4" t="s">
        <v>6</v>
      </c>
      <c r="C5" s="43">
        <v>1.65</v>
      </c>
      <c r="D5" s="5">
        <v>0.81279999999999997</v>
      </c>
      <c r="E5" s="110">
        <v>0.81279999999999997</v>
      </c>
      <c r="F5" s="5">
        <v>1</v>
      </c>
      <c r="G5" s="5">
        <v>1</v>
      </c>
      <c r="H5" s="125">
        <v>1</v>
      </c>
      <c r="I5" s="5">
        <v>1.24</v>
      </c>
      <c r="J5" s="5">
        <v>1.24</v>
      </c>
      <c r="K5" s="5">
        <v>1.24</v>
      </c>
      <c r="L5" s="5">
        <v>1.24</v>
      </c>
      <c r="N5" s="66"/>
      <c r="O5" s="66"/>
      <c r="P5" s="66"/>
      <c r="Q5" s="66"/>
      <c r="R5" s="66"/>
      <c r="S5" s="66"/>
      <c r="T5" s="66"/>
      <c r="U5" s="66"/>
      <c r="V5" s="66"/>
      <c r="W5" s="66"/>
    </row>
    <row r="6" spans="1:53" x14ac:dyDescent="0.2">
      <c r="A6" s="13" t="s">
        <v>25</v>
      </c>
      <c r="B6" s="4" t="s">
        <v>6</v>
      </c>
      <c r="C6" s="43">
        <f t="shared" ref="C6:J6" si="0">C4-(2*C5)</f>
        <v>44.96</v>
      </c>
      <c r="D6" s="5">
        <f t="shared" si="0"/>
        <v>7.8994</v>
      </c>
      <c r="E6" s="110">
        <f t="shared" si="0"/>
        <v>7.8994</v>
      </c>
      <c r="F6" s="5">
        <f t="shared" si="0"/>
        <v>6</v>
      </c>
      <c r="G6" s="5">
        <f>G4-(2*G5)</f>
        <v>6</v>
      </c>
      <c r="H6" s="125">
        <v>6</v>
      </c>
      <c r="I6" s="5">
        <f t="shared" si="0"/>
        <v>10.219999999999999</v>
      </c>
      <c r="J6" s="5">
        <f t="shared" si="0"/>
        <v>10.219999999999999</v>
      </c>
      <c r="K6" s="5">
        <f>K4-(2*K5)</f>
        <v>10.219999999999999</v>
      </c>
      <c r="L6" s="5">
        <f>L4-(2*L5)</f>
        <v>10.219999999999999</v>
      </c>
      <c r="N6" s="66"/>
      <c r="O6" s="66"/>
      <c r="P6" s="66"/>
      <c r="Q6" s="66"/>
      <c r="R6" s="66"/>
      <c r="S6" s="66"/>
      <c r="T6" s="66"/>
      <c r="U6" s="66"/>
      <c r="V6" s="66"/>
      <c r="W6" s="66"/>
    </row>
    <row r="7" spans="1:53" ht="14.25" x14ac:dyDescent="0.2">
      <c r="A7" s="13" t="s">
        <v>26</v>
      </c>
      <c r="B7" s="4" t="s">
        <v>11</v>
      </c>
      <c r="C7" s="44">
        <f t="shared" ref="C7:J7" si="1">0.25*3.14*(C6^2)</f>
        <v>1586.8002560000002</v>
      </c>
      <c r="D7" s="6">
        <f t="shared" si="1"/>
        <v>48.984408482600003</v>
      </c>
      <c r="E7" s="111">
        <f t="shared" si="1"/>
        <v>48.984408482600003</v>
      </c>
      <c r="F7" s="6">
        <f t="shared" si="1"/>
        <v>28.26</v>
      </c>
      <c r="G7" s="6">
        <f>0.25*3.14*(G6^2)</f>
        <v>28.26</v>
      </c>
      <c r="H7" s="38">
        <v>28</v>
      </c>
      <c r="I7" s="6">
        <f t="shared" si="1"/>
        <v>81.991993999999991</v>
      </c>
      <c r="J7" s="6">
        <f t="shared" si="1"/>
        <v>81.991993999999991</v>
      </c>
      <c r="K7" s="6">
        <f>0.25*3.14*(K6^2)</f>
        <v>81.991993999999991</v>
      </c>
      <c r="L7" s="6">
        <f>0.25*3.14*(L6^2)</f>
        <v>81.991993999999991</v>
      </c>
      <c r="N7" s="66"/>
      <c r="O7" s="66"/>
      <c r="P7" s="66"/>
      <c r="Q7" s="66"/>
      <c r="R7" s="66"/>
      <c r="S7" s="66"/>
      <c r="T7" s="66"/>
      <c r="U7" s="66"/>
      <c r="V7" s="66"/>
      <c r="W7" s="66"/>
    </row>
    <row r="8" spans="1:53" s="40" customFormat="1" x14ac:dyDescent="0.2">
      <c r="A8" s="13" t="s">
        <v>4</v>
      </c>
      <c r="B8" s="4" t="s">
        <v>7</v>
      </c>
      <c r="C8" s="44">
        <f>SUMPRODUCT(D8:L8,D16:L16)</f>
        <v>227</v>
      </c>
      <c r="D8" s="32">
        <f>'Present YE3'!D8</f>
        <v>2.2999999999999998</v>
      </c>
      <c r="E8" s="111">
        <v>4</v>
      </c>
      <c r="F8" s="32">
        <f>'Present YE3'!F8</f>
        <v>2</v>
      </c>
      <c r="G8" s="32">
        <f>'Present YE3'!G8</f>
        <v>2</v>
      </c>
      <c r="H8" s="38">
        <v>2</v>
      </c>
      <c r="I8" s="32">
        <f>'Present YE3'!H8</f>
        <v>2</v>
      </c>
      <c r="J8" s="32">
        <f>'Present YE3'!I8</f>
        <v>4.7</v>
      </c>
      <c r="K8" s="32">
        <f>'Present YE3'!J8</f>
        <v>4.7</v>
      </c>
      <c r="L8" s="32">
        <f>'Present YE3'!K8</f>
        <v>9.5</v>
      </c>
      <c r="M8" s="59"/>
      <c r="N8" s="66"/>
      <c r="O8" s="66"/>
      <c r="P8" s="66"/>
      <c r="Q8" s="66"/>
      <c r="R8" s="66"/>
      <c r="S8" s="66"/>
      <c r="T8" s="66"/>
      <c r="U8" s="66"/>
      <c r="V8" s="66"/>
      <c r="W8" s="66"/>
      <c r="X8" s="59"/>
      <c r="Y8" s="59"/>
      <c r="Z8" s="59"/>
      <c r="AA8" s="59"/>
      <c r="AB8" s="59"/>
      <c r="AC8" s="59"/>
      <c r="AD8" s="59"/>
      <c r="AE8" s="59"/>
      <c r="AF8" s="59"/>
      <c r="AG8" s="59"/>
      <c r="AH8" s="59"/>
      <c r="AI8" s="59"/>
      <c r="AJ8" s="59"/>
      <c r="AK8" s="59"/>
      <c r="AL8" s="59"/>
      <c r="AM8" s="59"/>
      <c r="AN8" s="59"/>
      <c r="AO8" s="59"/>
      <c r="AP8" s="59"/>
      <c r="AQ8" s="59"/>
      <c r="AR8" s="59"/>
      <c r="AS8" s="59"/>
      <c r="AT8" s="59"/>
      <c r="AU8" s="59"/>
      <c r="AV8" s="59"/>
      <c r="AW8" s="59"/>
      <c r="AX8" s="59"/>
      <c r="AY8" s="59"/>
      <c r="AZ8" s="59"/>
      <c r="BA8" s="59"/>
    </row>
    <row r="9" spans="1:53" x14ac:dyDescent="0.2">
      <c r="A9" s="13" t="s">
        <v>38</v>
      </c>
      <c r="B9" s="4" t="s">
        <v>14</v>
      </c>
      <c r="C9" s="44">
        <f t="shared" ref="C9:J9" si="2">(C8*1000/60)/C7</f>
        <v>2.3842530394281289</v>
      </c>
      <c r="D9" s="5">
        <f t="shared" si="2"/>
        <v>0.78256193186348078</v>
      </c>
      <c r="E9" s="112">
        <f t="shared" si="2"/>
        <v>1.3609772728060536</v>
      </c>
      <c r="F9" s="31">
        <f t="shared" si="2"/>
        <v>1.1795234725171031</v>
      </c>
      <c r="G9" s="31">
        <f>(G8*1000/60)/G7</f>
        <v>1.1795234725171031</v>
      </c>
      <c r="H9" s="74">
        <v>1.2</v>
      </c>
      <c r="I9" s="5">
        <f t="shared" si="2"/>
        <v>0.40654375759337358</v>
      </c>
      <c r="J9" s="5">
        <f t="shared" si="2"/>
        <v>0.95537783034442769</v>
      </c>
      <c r="K9" s="5">
        <f>(K8*1000/60)/K7</f>
        <v>0.95537783034442769</v>
      </c>
      <c r="L9" s="5">
        <f>(L8*1000/60)/L7</f>
        <v>1.9310828485685243</v>
      </c>
      <c r="N9" s="66"/>
      <c r="O9" s="66"/>
      <c r="P9" s="66"/>
      <c r="Q9" s="66"/>
      <c r="R9" s="66"/>
      <c r="S9" s="66"/>
      <c r="T9" s="66"/>
      <c r="U9" s="66"/>
      <c r="V9" s="66"/>
      <c r="W9" s="66"/>
    </row>
    <row r="10" spans="1:53" x14ac:dyDescent="0.2">
      <c r="A10" s="13" t="s">
        <v>42</v>
      </c>
      <c r="B10" s="4" t="s">
        <v>43</v>
      </c>
      <c r="C10" s="44">
        <f t="shared" ref="C10:J10" si="3">(C9*(C6/1000))/(1.035*10^-6)</f>
        <v>103571.03058230791</v>
      </c>
      <c r="D10" s="6">
        <f t="shared" si="3"/>
        <v>5972.7243715578552</v>
      </c>
      <c r="E10" s="111">
        <f t="shared" si="3"/>
        <v>10387.346733144097</v>
      </c>
      <c r="F10" s="30">
        <f t="shared" si="3"/>
        <v>6837.8172319832074</v>
      </c>
      <c r="G10" s="30">
        <f>(G9*(G6/1000))/(1.035*10^-6)</f>
        <v>6837.8172319832074</v>
      </c>
      <c r="H10" s="38">
        <v>6838</v>
      </c>
      <c r="I10" s="6">
        <f t="shared" si="3"/>
        <v>4014.374108796404</v>
      </c>
      <c r="J10" s="6">
        <f t="shared" si="3"/>
        <v>9433.7791556715456</v>
      </c>
      <c r="K10" s="6">
        <f>(K9*(K6/1000))/(1.035*10^-6)</f>
        <v>9433.7791556715456</v>
      </c>
      <c r="L10" s="6">
        <f>(L9*(L6/1000))/(1.035*10^-6)</f>
        <v>19068.277016782915</v>
      </c>
      <c r="N10" s="66"/>
      <c r="O10" s="66"/>
      <c r="P10" s="66"/>
      <c r="Q10" s="66"/>
      <c r="R10" s="66"/>
      <c r="S10" s="66"/>
      <c r="T10" s="66"/>
      <c r="U10" s="66"/>
      <c r="V10" s="66"/>
      <c r="W10" s="66"/>
    </row>
    <row r="11" spans="1:53" s="40" customFormat="1" x14ac:dyDescent="0.2">
      <c r="A11" s="13" t="s">
        <v>69</v>
      </c>
      <c r="B11" s="4" t="s">
        <v>8</v>
      </c>
      <c r="C11" s="44"/>
      <c r="D11" s="30">
        <f>'Present YE3'!D11</f>
        <v>120</v>
      </c>
      <c r="E11" s="111">
        <v>260</v>
      </c>
      <c r="F11" s="30">
        <f>'Present YE3'!F11</f>
        <v>10</v>
      </c>
      <c r="G11" s="30">
        <f>'Present YE3'!G11</f>
        <v>10</v>
      </c>
      <c r="H11" s="38">
        <v>20</v>
      </c>
      <c r="I11" s="30">
        <f>'Present YE3'!H11</f>
        <v>0</v>
      </c>
      <c r="J11" s="30">
        <f>'Present YE3'!I11</f>
        <v>0</v>
      </c>
      <c r="K11" s="30">
        <f>'Present YE3'!J11</f>
        <v>0</v>
      </c>
      <c r="L11" s="30">
        <f>'Present YE3'!K11</f>
        <v>0</v>
      </c>
      <c r="M11" s="59"/>
      <c r="N11" s="66"/>
      <c r="O11" s="66"/>
      <c r="P11" s="66"/>
      <c r="Q11" s="66"/>
      <c r="R11" s="66"/>
      <c r="S11" s="66"/>
      <c r="T11" s="66"/>
      <c r="U11" s="66"/>
      <c r="V11" s="66"/>
      <c r="W11" s="66"/>
      <c r="X11" s="59"/>
      <c r="Y11" s="59"/>
      <c r="Z11" s="59"/>
      <c r="AA11" s="59"/>
      <c r="AB11" s="59"/>
      <c r="AC11" s="59"/>
      <c r="AD11" s="59"/>
      <c r="AE11" s="59"/>
      <c r="AF11" s="59"/>
      <c r="AG11" s="59"/>
      <c r="AH11" s="59"/>
      <c r="AI11" s="59"/>
      <c r="AJ11" s="59"/>
      <c r="AK11" s="59"/>
      <c r="AL11" s="59"/>
      <c r="AM11" s="59"/>
      <c r="AN11" s="59"/>
      <c r="AO11" s="59"/>
      <c r="AP11" s="59"/>
      <c r="AQ11" s="59"/>
      <c r="AR11" s="59"/>
      <c r="AS11" s="59"/>
      <c r="AT11" s="59"/>
      <c r="AU11" s="59"/>
      <c r="AV11" s="59"/>
      <c r="AW11" s="59"/>
      <c r="AX11" s="59"/>
      <c r="AY11" s="59"/>
      <c r="AZ11" s="59"/>
      <c r="BA11" s="59"/>
    </row>
    <row r="12" spans="1:53" s="40" customFormat="1" x14ac:dyDescent="0.2">
      <c r="A12" s="13" t="s">
        <v>70</v>
      </c>
      <c r="B12" s="4" t="s">
        <v>80</v>
      </c>
      <c r="C12" s="44"/>
      <c r="D12" s="30">
        <f>'Present YE3'!D12</f>
        <v>3</v>
      </c>
      <c r="E12" s="111">
        <v>3</v>
      </c>
      <c r="F12" s="111">
        <v>6</v>
      </c>
      <c r="G12" s="30">
        <f>'Present YE3'!G12</f>
        <v>4</v>
      </c>
      <c r="H12" s="38">
        <v>2</v>
      </c>
      <c r="I12" s="30">
        <f>'Present YE3'!H12</f>
        <v>0</v>
      </c>
      <c r="J12" s="30">
        <f>'Present YE3'!I12</f>
        <v>0</v>
      </c>
      <c r="K12" s="30">
        <f>'Present YE3'!J12</f>
        <v>0</v>
      </c>
      <c r="L12" s="30">
        <f>'Present YE3'!K12</f>
        <v>0</v>
      </c>
      <c r="M12" s="59"/>
      <c r="N12" s="66"/>
      <c r="O12" s="66"/>
      <c r="P12" s="66"/>
      <c r="Q12" s="66"/>
      <c r="R12" s="66"/>
      <c r="S12" s="66"/>
      <c r="T12" s="66"/>
      <c r="U12" s="66"/>
      <c r="V12" s="66"/>
      <c r="W12" s="66"/>
      <c r="X12" s="59"/>
      <c r="Y12" s="59"/>
      <c r="Z12" s="59"/>
      <c r="AA12" s="59"/>
      <c r="AB12" s="59"/>
      <c r="AC12" s="59"/>
      <c r="AD12" s="59"/>
      <c r="AE12" s="59"/>
      <c r="AF12" s="59"/>
      <c r="AG12" s="59"/>
      <c r="AH12" s="59"/>
      <c r="AI12" s="59"/>
      <c r="AJ12" s="59"/>
      <c r="AK12" s="59"/>
      <c r="AL12" s="59"/>
      <c r="AM12" s="59"/>
      <c r="AN12" s="59"/>
      <c r="AO12" s="59"/>
      <c r="AP12" s="59"/>
      <c r="AQ12" s="59"/>
      <c r="AR12" s="59"/>
      <c r="AS12" s="59"/>
      <c r="AT12" s="59"/>
      <c r="AU12" s="59"/>
      <c r="AV12" s="59"/>
      <c r="AW12" s="59"/>
      <c r="AX12" s="59"/>
      <c r="AY12" s="59"/>
      <c r="AZ12" s="59"/>
      <c r="BA12" s="59"/>
    </row>
    <row r="13" spans="1:53" x14ac:dyDescent="0.2">
      <c r="A13" s="13" t="s">
        <v>17</v>
      </c>
      <c r="B13" s="4" t="s">
        <v>8</v>
      </c>
      <c r="C13" s="44">
        <f>SUMPRODUCT(D13:L13,D16:L16)</f>
        <v>23412</v>
      </c>
      <c r="D13" s="6">
        <v>360</v>
      </c>
      <c r="E13" s="111">
        <v>780</v>
      </c>
      <c r="F13" s="6">
        <f>F12*F11</f>
        <v>60</v>
      </c>
      <c r="G13" s="6">
        <f>G12*G11</f>
        <v>40</v>
      </c>
      <c r="H13" s="38">
        <v>40</v>
      </c>
      <c r="I13" s="6"/>
      <c r="J13" s="6">
        <v>426</v>
      </c>
      <c r="K13" s="6">
        <v>1000</v>
      </c>
      <c r="L13" s="6">
        <v>2516</v>
      </c>
      <c r="N13" s="66"/>
      <c r="O13" s="66"/>
      <c r="P13" s="66"/>
      <c r="Q13" s="66"/>
      <c r="R13" s="66"/>
      <c r="S13" s="66"/>
      <c r="T13" s="66"/>
      <c r="U13" s="66"/>
      <c r="V13" s="66"/>
      <c r="W13" s="66"/>
    </row>
    <row r="14" spans="1:53" x14ac:dyDescent="0.2">
      <c r="A14" s="13" t="s">
        <v>20</v>
      </c>
      <c r="B14" s="4" t="s">
        <v>5</v>
      </c>
      <c r="C14" s="44">
        <f t="shared" ref="C14:J14" si="4">C13/(C8/60)/4180</f>
        <v>1.4804291465548134</v>
      </c>
      <c r="D14" s="5">
        <f t="shared" si="4"/>
        <v>2.2467235281880593</v>
      </c>
      <c r="E14" s="112">
        <f t="shared" si="4"/>
        <v>2.799043062200957</v>
      </c>
      <c r="F14" s="5">
        <f t="shared" si="4"/>
        <v>0.43062200956937802</v>
      </c>
      <c r="G14" s="5">
        <f>G13/(G8/60)/4180</f>
        <v>0.28708133971291866</v>
      </c>
      <c r="H14" s="74">
        <v>0.2</v>
      </c>
      <c r="I14" s="5">
        <f t="shared" si="4"/>
        <v>0</v>
      </c>
      <c r="J14" s="5">
        <f t="shared" si="4"/>
        <v>1.3010281991245036</v>
      </c>
      <c r="K14" s="5">
        <f>K13/(K8/60)/4180</f>
        <v>3.0540568054565815</v>
      </c>
      <c r="L14" s="5">
        <f>L13/(L8/60)/4180</f>
        <v>3.8015613195668601</v>
      </c>
      <c r="N14" s="66"/>
      <c r="O14" s="66"/>
      <c r="P14" s="66"/>
      <c r="Q14" s="66"/>
      <c r="R14" s="66"/>
      <c r="S14" s="66"/>
      <c r="T14" s="66"/>
      <c r="U14" s="66"/>
      <c r="V14" s="66"/>
      <c r="W14" s="66"/>
    </row>
    <row r="15" spans="1:53" x14ac:dyDescent="0.2">
      <c r="A15" s="13"/>
      <c r="B15" s="4"/>
      <c r="C15" s="44"/>
      <c r="D15" s="4"/>
      <c r="E15" s="113"/>
      <c r="F15" s="4"/>
      <c r="G15" s="4"/>
      <c r="H15" s="29"/>
      <c r="I15" s="4"/>
      <c r="J15" s="4"/>
      <c r="K15" s="4"/>
      <c r="L15" s="4"/>
      <c r="N15" s="66"/>
      <c r="O15" s="66"/>
      <c r="P15" s="66"/>
      <c r="Q15" s="66"/>
      <c r="R15" s="66"/>
      <c r="S15" s="66"/>
      <c r="T15" s="66"/>
      <c r="U15" s="66"/>
      <c r="V15" s="66"/>
      <c r="W15" s="66"/>
    </row>
    <row r="16" spans="1:53" s="40" customFormat="1" x14ac:dyDescent="0.2">
      <c r="A16" s="13" t="s">
        <v>9</v>
      </c>
      <c r="B16" s="4" t="s">
        <v>10</v>
      </c>
      <c r="C16" s="44">
        <v>1</v>
      </c>
      <c r="D16" s="30">
        <f>'Present YE3'!D16</f>
        <v>12</v>
      </c>
      <c r="E16" s="111">
        <v>6</v>
      </c>
      <c r="F16" s="30">
        <f>'Present YE3'!F16</f>
        <v>18</v>
      </c>
      <c r="G16" s="30">
        <f>'Present YE3'!G16</f>
        <v>18</v>
      </c>
      <c r="H16" s="38">
        <v>9</v>
      </c>
      <c r="I16" s="30">
        <v>12</v>
      </c>
      <c r="J16" s="30">
        <f>'Present YE3'!I16</f>
        <v>4</v>
      </c>
      <c r="K16" s="30">
        <f>'Present YE3'!J16</f>
        <v>3</v>
      </c>
      <c r="L16" s="30">
        <f>'Present YE3'!K16</f>
        <v>3</v>
      </c>
      <c r="M16" s="59"/>
      <c r="N16" s="66"/>
      <c r="O16" s="66"/>
      <c r="P16" s="66"/>
      <c r="Q16" s="66"/>
      <c r="R16" s="66"/>
      <c r="S16" s="66"/>
      <c r="T16" s="66"/>
      <c r="U16" s="66"/>
      <c r="V16" s="66"/>
      <c r="W16" s="66"/>
      <c r="X16" s="59"/>
      <c r="Y16" s="59"/>
      <c r="Z16" s="59"/>
      <c r="AA16" s="59"/>
      <c r="AB16" s="59"/>
      <c r="AC16" s="59"/>
      <c r="AD16" s="59"/>
      <c r="AE16" s="59"/>
      <c r="AF16" s="59"/>
      <c r="AG16" s="59"/>
      <c r="AH16" s="59"/>
      <c r="AI16" s="59"/>
      <c r="AJ16" s="59"/>
      <c r="AK16" s="59"/>
      <c r="AL16" s="59"/>
      <c r="AM16" s="59"/>
      <c r="AN16" s="59"/>
      <c r="AO16" s="59"/>
      <c r="AP16" s="59"/>
      <c r="AQ16" s="59"/>
      <c r="AR16" s="59"/>
      <c r="AS16" s="59"/>
      <c r="AT16" s="59"/>
      <c r="AU16" s="59"/>
      <c r="AV16" s="59"/>
      <c r="AW16" s="59"/>
      <c r="AX16" s="59"/>
      <c r="AY16" s="59"/>
      <c r="AZ16" s="59"/>
      <c r="BA16" s="59"/>
    </row>
    <row r="17" spans="1:53" x14ac:dyDescent="0.2">
      <c r="A17" s="13" t="s">
        <v>19</v>
      </c>
      <c r="B17" s="4" t="s">
        <v>7</v>
      </c>
      <c r="C17" s="44">
        <f>SUM(D17:L17)</f>
        <v>227</v>
      </c>
      <c r="D17" s="4">
        <f>D16*D8</f>
        <v>27.599999999999998</v>
      </c>
      <c r="E17" s="111">
        <f>E16*E8</f>
        <v>24</v>
      </c>
      <c r="F17" s="4">
        <f t="shared" ref="F17:L17" si="5">F16*F8</f>
        <v>36</v>
      </c>
      <c r="G17" s="4">
        <f>G16*G8</f>
        <v>36</v>
      </c>
      <c r="H17" s="38">
        <v>18</v>
      </c>
      <c r="I17" s="129">
        <f t="shared" ref="I17" si="6">I16*I8</f>
        <v>24</v>
      </c>
      <c r="J17" s="4">
        <f t="shared" si="5"/>
        <v>18.8</v>
      </c>
      <c r="K17" s="4">
        <f t="shared" si="5"/>
        <v>14.100000000000001</v>
      </c>
      <c r="L17" s="4">
        <f t="shared" si="5"/>
        <v>28.5</v>
      </c>
      <c r="N17" s="66"/>
      <c r="O17" s="66"/>
      <c r="P17" s="66"/>
      <c r="Q17" s="66"/>
      <c r="R17" s="66"/>
      <c r="S17" s="66"/>
      <c r="T17" s="66"/>
      <c r="U17" s="66"/>
      <c r="V17" s="66"/>
      <c r="W17" s="66"/>
    </row>
    <row r="18" spans="1:53" x14ac:dyDescent="0.2">
      <c r="A18" s="13" t="s">
        <v>22</v>
      </c>
      <c r="B18" s="4" t="s">
        <v>8</v>
      </c>
      <c r="C18" s="44">
        <f>SUM(D18:L18)</f>
        <v>23412</v>
      </c>
      <c r="D18" s="6">
        <f>D16*D13</f>
        <v>4320</v>
      </c>
      <c r="E18" s="111">
        <f>E16*E13</f>
        <v>4680</v>
      </c>
      <c r="F18" s="6">
        <f>F16*F13</f>
        <v>1080</v>
      </c>
      <c r="G18" s="6">
        <f>G16*G13</f>
        <v>720</v>
      </c>
      <c r="H18" s="38">
        <f>H16*H13</f>
        <v>360</v>
      </c>
      <c r="I18" s="6"/>
      <c r="J18" s="6">
        <f>J16*J13</f>
        <v>1704</v>
      </c>
      <c r="K18" s="6">
        <f>K16*K13</f>
        <v>3000</v>
      </c>
      <c r="L18" s="6">
        <f>L16*L13</f>
        <v>7548</v>
      </c>
      <c r="N18" s="66"/>
      <c r="O18" s="66"/>
      <c r="P18" s="66"/>
      <c r="Q18" s="66"/>
      <c r="R18" s="66"/>
      <c r="S18" s="66"/>
      <c r="T18" s="66"/>
      <c r="U18" s="66"/>
      <c r="V18" s="66"/>
      <c r="W18" s="66"/>
    </row>
    <row r="19" spans="1:53" x14ac:dyDescent="0.2">
      <c r="A19" s="13" t="s">
        <v>24</v>
      </c>
      <c r="B19" s="4" t="s">
        <v>8</v>
      </c>
      <c r="C19" s="44"/>
      <c r="D19" s="4"/>
      <c r="E19" s="4"/>
      <c r="F19" s="4"/>
      <c r="G19" s="4"/>
      <c r="H19" s="4"/>
      <c r="I19" s="3">
        <f>I16*I13</f>
        <v>0</v>
      </c>
      <c r="J19" s="3"/>
      <c r="K19" s="4"/>
      <c r="L19" s="4"/>
      <c r="N19" s="66"/>
      <c r="O19" s="66"/>
      <c r="P19" s="66"/>
      <c r="Q19" s="66"/>
      <c r="R19" s="66"/>
      <c r="S19" s="66"/>
      <c r="T19" s="66"/>
      <c r="U19" s="66"/>
      <c r="V19" s="66"/>
      <c r="W19" s="66"/>
    </row>
    <row r="20" spans="1:53" x14ac:dyDescent="0.2">
      <c r="A20" s="13"/>
      <c r="B20" s="4"/>
      <c r="C20" s="44"/>
      <c r="D20" s="4"/>
      <c r="E20" s="4"/>
      <c r="F20" s="4"/>
      <c r="G20" s="4"/>
      <c r="H20" s="4"/>
      <c r="I20" s="3"/>
      <c r="J20" s="3"/>
      <c r="K20" s="4"/>
      <c r="L20" s="4"/>
      <c r="N20" s="66"/>
      <c r="O20" s="66"/>
      <c r="P20" s="66"/>
      <c r="Q20" s="66"/>
      <c r="R20" s="66"/>
      <c r="S20" s="66"/>
      <c r="T20" s="66"/>
      <c r="U20" s="66"/>
      <c r="V20" s="66"/>
      <c r="W20" s="66"/>
    </row>
    <row r="21" spans="1:53" x14ac:dyDescent="0.2">
      <c r="A21" s="13" t="s">
        <v>15</v>
      </c>
      <c r="B21" s="4" t="s">
        <v>0</v>
      </c>
      <c r="C21" s="44"/>
      <c r="D21" s="4"/>
      <c r="E21" s="4"/>
      <c r="F21" s="4"/>
      <c r="G21" s="4"/>
      <c r="H21" s="4"/>
      <c r="I21" s="4"/>
      <c r="J21" s="4"/>
      <c r="K21" s="4"/>
      <c r="L21" s="4"/>
      <c r="N21" s="66"/>
      <c r="O21" s="66"/>
      <c r="P21" s="66"/>
      <c r="Q21" s="66"/>
      <c r="R21" s="66"/>
      <c r="S21" s="66"/>
      <c r="T21" s="66"/>
      <c r="U21" s="66"/>
      <c r="V21" s="66"/>
      <c r="W21" s="66"/>
    </row>
    <row r="22" spans="1:53" x14ac:dyDescent="0.2">
      <c r="A22" s="12"/>
      <c r="B22" s="10"/>
      <c r="C22" s="10"/>
      <c r="D22" s="10"/>
      <c r="E22" s="10"/>
      <c r="F22" s="10"/>
      <c r="G22" s="10"/>
      <c r="H22" s="10"/>
      <c r="I22" s="12"/>
      <c r="J22" s="12"/>
      <c r="K22" s="10"/>
      <c r="L22" s="10"/>
      <c r="N22" s="66"/>
      <c r="O22" s="66"/>
      <c r="P22" s="66"/>
      <c r="Q22" s="66"/>
      <c r="R22" s="66"/>
      <c r="S22" s="66"/>
      <c r="T22" s="66"/>
      <c r="U22" s="66"/>
      <c r="V22" s="66"/>
      <c r="W22" s="66"/>
    </row>
    <row r="23" spans="1:53" x14ac:dyDescent="0.2">
      <c r="A23" s="62" t="s">
        <v>75</v>
      </c>
      <c r="B23" s="10"/>
      <c r="C23" s="10"/>
      <c r="D23" s="10"/>
      <c r="E23" s="10"/>
      <c r="F23" s="10"/>
      <c r="G23" s="10"/>
      <c r="H23" s="10"/>
      <c r="I23" s="12"/>
      <c r="J23" s="12"/>
      <c r="K23" s="10"/>
      <c r="L23" s="10"/>
      <c r="N23" s="66"/>
      <c r="O23" s="66"/>
      <c r="P23" s="66"/>
      <c r="Q23" s="66"/>
      <c r="R23" s="66"/>
      <c r="S23" s="66"/>
      <c r="T23" s="66"/>
      <c r="U23" s="66"/>
      <c r="V23" s="66"/>
      <c r="W23" s="66"/>
    </row>
    <row r="24" spans="1:53" x14ac:dyDescent="0.2">
      <c r="A24" s="16" t="s">
        <v>19</v>
      </c>
      <c r="B24" s="17" t="s">
        <v>7</v>
      </c>
      <c r="C24" s="18">
        <f>C8</f>
        <v>227</v>
      </c>
      <c r="D24" s="2"/>
      <c r="E24" s="2"/>
      <c r="F24" s="2"/>
      <c r="G24" s="2"/>
      <c r="H24" s="2"/>
      <c r="K24" s="2"/>
      <c r="L24" s="2"/>
      <c r="N24" s="66"/>
      <c r="O24" s="66"/>
      <c r="P24" s="66"/>
      <c r="Q24" s="66"/>
      <c r="R24" s="66"/>
      <c r="S24" s="66"/>
      <c r="T24" s="66"/>
      <c r="U24" s="66"/>
      <c r="V24" s="66"/>
      <c r="W24" s="66"/>
    </row>
    <row r="25" spans="1:53" x14ac:dyDescent="0.2">
      <c r="A25" s="16" t="s">
        <v>23</v>
      </c>
      <c r="B25" s="17" t="s">
        <v>94</v>
      </c>
      <c r="C25" s="18">
        <f>C18/1000</f>
        <v>23.411999999999999</v>
      </c>
      <c r="D25" s="2"/>
      <c r="E25" s="2"/>
      <c r="F25" s="2"/>
      <c r="G25" s="2"/>
      <c r="H25" s="2"/>
      <c r="K25" s="2"/>
      <c r="L25" s="2"/>
      <c r="N25" s="66"/>
      <c r="O25" s="66"/>
      <c r="P25" s="66"/>
      <c r="Q25" s="66"/>
      <c r="R25" s="66"/>
      <c r="S25" s="66"/>
      <c r="T25" s="66"/>
      <c r="U25" s="66"/>
      <c r="V25" s="66"/>
      <c r="W25" s="66"/>
    </row>
    <row r="26" spans="1:53" x14ac:dyDescent="0.2">
      <c r="A26" s="16" t="s">
        <v>21</v>
      </c>
      <c r="B26" s="17" t="s">
        <v>5</v>
      </c>
      <c r="C26" s="19">
        <f>C25/(C24/60)/4.18</f>
        <v>1.4804291465548132</v>
      </c>
      <c r="D26" s="2"/>
      <c r="E26" s="2"/>
      <c r="F26" s="2"/>
      <c r="G26" s="2"/>
      <c r="H26" s="2"/>
      <c r="K26" s="2"/>
      <c r="L26" s="2"/>
      <c r="N26" s="66"/>
      <c r="O26" s="66"/>
      <c r="P26" s="66"/>
      <c r="Q26" s="66"/>
      <c r="R26" s="66"/>
      <c r="S26" s="66"/>
      <c r="T26" s="66"/>
      <c r="U26" s="66"/>
      <c r="V26" s="66"/>
      <c r="W26" s="66"/>
    </row>
    <row r="27" spans="1:53" x14ac:dyDescent="0.2">
      <c r="B27" s="2"/>
      <c r="C27" s="2"/>
      <c r="D27" s="2"/>
      <c r="E27" s="2"/>
      <c r="F27" s="2"/>
      <c r="G27" s="2"/>
      <c r="H27" s="2"/>
      <c r="K27" s="2"/>
      <c r="L27" s="2"/>
      <c r="N27" s="66"/>
      <c r="O27" s="66"/>
      <c r="P27" s="66"/>
      <c r="Q27" s="66"/>
      <c r="R27" s="66"/>
      <c r="S27" s="66"/>
      <c r="T27" s="66"/>
      <c r="U27" s="66"/>
      <c r="V27" s="66"/>
      <c r="W27" s="66"/>
    </row>
    <row r="28" spans="1:53" x14ac:dyDescent="0.2">
      <c r="A28" s="133" t="s">
        <v>113</v>
      </c>
      <c r="B28" s="2"/>
      <c r="C28" s="2"/>
      <c r="D28" s="2"/>
      <c r="E28" s="2"/>
      <c r="F28" s="2"/>
      <c r="G28" s="2"/>
      <c r="H28" s="2"/>
      <c r="K28" s="2"/>
      <c r="L28" s="2"/>
    </row>
    <row r="29" spans="1:53" s="33" customFormat="1" x14ac:dyDescent="0.2">
      <c r="A29" t="s">
        <v>102</v>
      </c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59"/>
      <c r="T29" s="59"/>
      <c r="U29" s="59"/>
      <c r="V29" s="59"/>
      <c r="W29" s="59"/>
      <c r="X29" s="59"/>
      <c r="Y29" s="59"/>
      <c r="Z29" s="59"/>
      <c r="AA29" s="59"/>
      <c r="AB29" s="59"/>
      <c r="AC29" s="59"/>
      <c r="AD29" s="59"/>
      <c r="AE29" s="59"/>
      <c r="AF29" s="59"/>
      <c r="AG29" s="59"/>
      <c r="AH29" s="59"/>
      <c r="AI29" s="59"/>
      <c r="AJ29" s="59"/>
      <c r="AK29" s="59"/>
      <c r="AL29" s="59"/>
      <c r="AM29" s="59"/>
    </row>
    <row r="30" spans="1:53" s="120" customFormat="1" x14ac:dyDescent="0.2">
      <c r="A30" s="120" t="s">
        <v>109</v>
      </c>
      <c r="F30" s="121"/>
      <c r="G30" s="121"/>
      <c r="H30" s="121"/>
      <c r="I30" s="121"/>
      <c r="J30" s="121"/>
      <c r="K30" s="121"/>
      <c r="L30" s="121"/>
      <c r="M30" s="121"/>
      <c r="N30" s="121"/>
      <c r="O30" s="121"/>
      <c r="P30" s="121"/>
      <c r="Q30" s="121"/>
      <c r="R30" s="121"/>
      <c r="S30" s="121"/>
      <c r="T30" s="121"/>
      <c r="U30" s="121"/>
      <c r="V30" s="121"/>
      <c r="W30" s="121"/>
      <c r="X30" s="121"/>
      <c r="Y30" s="121"/>
      <c r="Z30" s="121"/>
      <c r="AA30" s="121"/>
      <c r="AB30" s="121"/>
      <c r="AC30" s="121"/>
      <c r="AD30" s="121"/>
      <c r="AE30" s="121"/>
      <c r="AF30" s="121"/>
      <c r="AG30" s="121"/>
      <c r="AH30" s="121"/>
      <c r="AI30" s="121"/>
      <c r="AJ30" s="121"/>
      <c r="AK30" s="121"/>
      <c r="AL30" s="121"/>
      <c r="AM30" s="121"/>
    </row>
    <row r="31" spans="1:53" x14ac:dyDescent="0.2">
      <c r="A31" s="59" t="s">
        <v>106</v>
      </c>
      <c r="F31" s="59"/>
      <c r="G31" s="59"/>
      <c r="H31" s="59"/>
      <c r="I31" s="59"/>
      <c r="J31" s="59"/>
      <c r="K31" s="59"/>
      <c r="L31" s="59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</row>
    <row r="32" spans="1:53" x14ac:dyDescent="0.2">
      <c r="A32" s="138" t="s">
        <v>133</v>
      </c>
      <c r="B32" s="138"/>
      <c r="C32" s="138"/>
      <c r="D32" s="138"/>
      <c r="E32" s="138"/>
      <c r="F32" s="138"/>
      <c r="G32" s="138"/>
      <c r="H32" s="138"/>
      <c r="I32" s="138"/>
      <c r="J32" s="138"/>
    </row>
    <row r="33" spans="1:53" x14ac:dyDescent="0.2">
      <c r="A33" s="138"/>
      <c r="B33" s="138"/>
      <c r="C33" s="138"/>
      <c r="D33" s="138"/>
      <c r="E33" s="138"/>
      <c r="F33" s="138"/>
      <c r="G33" s="138"/>
      <c r="H33" s="138"/>
      <c r="I33" s="138"/>
      <c r="J33" s="138"/>
      <c r="K33" s="59"/>
      <c r="L33" s="59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</row>
    <row r="34" spans="1:53" x14ac:dyDescent="0.2">
      <c r="A34" t="s">
        <v>108</v>
      </c>
    </row>
    <row r="35" spans="1:53" x14ac:dyDescent="0.2">
      <c r="A35" t="s">
        <v>103</v>
      </c>
      <c r="F35" s="59"/>
      <c r="G35" s="59"/>
      <c r="H35" s="59"/>
      <c r="I35" s="59"/>
      <c r="J35" s="59"/>
      <c r="K35" s="59"/>
      <c r="L35" s="59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</row>
  </sheetData>
  <mergeCells count="1">
    <mergeCell ref="A32:J33"/>
  </mergeCells>
  <pageMargins left="0.75" right="0.75" top="1" bottom="1" header="0.5" footer="0.5"/>
  <pageSetup orientation="landscape"/>
  <headerFooter alignWithMargins="0"/>
  <legacy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A30"/>
  <sheetViews>
    <sheetView showGridLines="0" zoomScale="130" zoomScaleNormal="130" workbookViewId="0">
      <selection activeCell="F19" sqref="F19"/>
    </sheetView>
  </sheetViews>
  <sheetFormatPr defaultColWidth="8.85546875" defaultRowHeight="12.75" x14ac:dyDescent="0.2"/>
  <cols>
    <col min="1" max="1" width="26.7109375" customWidth="1"/>
    <col min="2" max="12" width="10.140625" customWidth="1"/>
    <col min="13" max="53" width="8.85546875" style="59"/>
  </cols>
  <sheetData>
    <row r="1" spans="1:53" ht="18" x14ac:dyDescent="0.25">
      <c r="A1" s="20" t="s">
        <v>82</v>
      </c>
    </row>
    <row r="2" spans="1:53" x14ac:dyDescent="0.2"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</row>
    <row r="3" spans="1:53" ht="51" x14ac:dyDescent="0.2">
      <c r="A3" s="65" t="s">
        <v>117</v>
      </c>
      <c r="B3" s="14" t="s">
        <v>3</v>
      </c>
      <c r="C3" s="47" t="s">
        <v>33</v>
      </c>
      <c r="D3" s="14" t="s">
        <v>39</v>
      </c>
      <c r="E3" s="14" t="s">
        <v>40</v>
      </c>
      <c r="F3" s="14" t="s">
        <v>34</v>
      </c>
      <c r="G3" s="14" t="s">
        <v>60</v>
      </c>
      <c r="H3" s="14" t="s">
        <v>107</v>
      </c>
      <c r="I3" s="14" t="s">
        <v>13</v>
      </c>
      <c r="J3" s="15" t="s">
        <v>53</v>
      </c>
      <c r="K3" s="14" t="s">
        <v>54</v>
      </c>
      <c r="L3" s="14" t="s">
        <v>55</v>
      </c>
    </row>
    <row r="4" spans="1:53" x14ac:dyDescent="0.2">
      <c r="A4" s="13" t="s">
        <v>1</v>
      </c>
      <c r="B4" s="4" t="s">
        <v>6</v>
      </c>
      <c r="C4" s="43">
        <v>48.26</v>
      </c>
      <c r="D4" s="5">
        <v>9.5250000000000004</v>
      </c>
      <c r="E4" s="5">
        <v>9.5250000000000004</v>
      </c>
      <c r="F4" s="5">
        <v>8</v>
      </c>
      <c r="G4" s="5">
        <v>8</v>
      </c>
      <c r="H4" s="5">
        <f>'Upgrade YE3 LS2'!H4</f>
        <v>8</v>
      </c>
      <c r="I4" s="5">
        <v>12.7</v>
      </c>
      <c r="J4" s="5">
        <v>12.7</v>
      </c>
      <c r="K4" s="5">
        <v>12.7</v>
      </c>
      <c r="L4" s="5">
        <v>12.7</v>
      </c>
      <c r="N4" s="66"/>
      <c r="O4" s="66"/>
      <c r="P4" s="66"/>
      <c r="Q4" s="66"/>
      <c r="R4" s="66"/>
      <c r="S4" s="66"/>
      <c r="T4" s="66"/>
      <c r="U4" s="66"/>
      <c r="V4" s="66"/>
      <c r="W4" s="66"/>
    </row>
    <row r="5" spans="1:53" x14ac:dyDescent="0.2">
      <c r="A5" s="13" t="s">
        <v>2</v>
      </c>
      <c r="B5" s="4" t="s">
        <v>6</v>
      </c>
      <c r="C5" s="43">
        <v>1.65</v>
      </c>
      <c r="D5" s="5">
        <v>0.81279999999999997</v>
      </c>
      <c r="E5" s="5">
        <v>0.81279999999999997</v>
      </c>
      <c r="F5" s="5">
        <v>1</v>
      </c>
      <c r="G5" s="5">
        <v>1</v>
      </c>
      <c r="H5" s="5">
        <f>'Upgrade YE3 LS2'!H5</f>
        <v>1</v>
      </c>
      <c r="I5" s="5">
        <v>1.24</v>
      </c>
      <c r="J5" s="5">
        <v>1.24</v>
      </c>
      <c r="K5" s="5">
        <v>1.24</v>
      </c>
      <c r="L5" s="5">
        <v>1.24</v>
      </c>
      <c r="N5" s="66"/>
      <c r="O5" s="66"/>
      <c r="P5" s="66"/>
      <c r="Q5" s="66"/>
      <c r="R5" s="66"/>
      <c r="S5" s="66"/>
      <c r="T5" s="66"/>
      <c r="U5" s="66"/>
      <c r="V5" s="66"/>
      <c r="W5" s="66"/>
    </row>
    <row r="6" spans="1:53" x14ac:dyDescent="0.2">
      <c r="A6" s="13" t="s">
        <v>25</v>
      </c>
      <c r="B6" s="4" t="s">
        <v>6</v>
      </c>
      <c r="C6" s="43">
        <f t="shared" ref="C6:J6" si="0">C4-(2*C5)</f>
        <v>44.96</v>
      </c>
      <c r="D6" s="31">
        <f t="shared" si="0"/>
        <v>7.8994</v>
      </c>
      <c r="E6" s="31">
        <f t="shared" si="0"/>
        <v>7.8994</v>
      </c>
      <c r="F6" s="5">
        <f t="shared" si="0"/>
        <v>6</v>
      </c>
      <c r="G6" s="5">
        <f>G4-(2*G5)</f>
        <v>6</v>
      </c>
      <c r="H6" s="5">
        <f>'Upgrade YE3 LS2'!H6</f>
        <v>6</v>
      </c>
      <c r="I6" s="5">
        <f t="shared" si="0"/>
        <v>10.219999999999999</v>
      </c>
      <c r="J6" s="5">
        <f t="shared" si="0"/>
        <v>10.219999999999999</v>
      </c>
      <c r="K6" s="5">
        <f>K4-(2*K5)</f>
        <v>10.219999999999999</v>
      </c>
      <c r="L6" s="5">
        <f>L4-(2*L5)</f>
        <v>10.219999999999999</v>
      </c>
      <c r="N6" s="66"/>
      <c r="O6" s="66"/>
      <c r="P6" s="66"/>
      <c r="Q6" s="66"/>
      <c r="R6" s="66"/>
      <c r="S6" s="66"/>
      <c r="T6" s="66"/>
      <c r="U6" s="66"/>
      <c r="V6" s="66"/>
      <c r="W6" s="66"/>
    </row>
    <row r="7" spans="1:53" ht="14.25" x14ac:dyDescent="0.2">
      <c r="A7" s="13" t="s">
        <v>26</v>
      </c>
      <c r="B7" s="4" t="s">
        <v>11</v>
      </c>
      <c r="C7" s="44">
        <f t="shared" ref="C7:J7" si="1">0.25*3.14*(C6^2)</f>
        <v>1586.8002560000002</v>
      </c>
      <c r="D7" s="30">
        <f t="shared" si="1"/>
        <v>48.984408482600003</v>
      </c>
      <c r="E7" s="30">
        <f t="shared" si="1"/>
        <v>48.984408482600003</v>
      </c>
      <c r="F7" s="6">
        <f t="shared" si="1"/>
        <v>28.26</v>
      </c>
      <c r="G7" s="6">
        <f>0.25*3.14*(G6^2)</f>
        <v>28.26</v>
      </c>
      <c r="H7" s="6">
        <f>'Upgrade YE3 LS2'!H7</f>
        <v>28</v>
      </c>
      <c r="I7" s="6">
        <f t="shared" si="1"/>
        <v>81.991993999999991</v>
      </c>
      <c r="J7" s="6">
        <f t="shared" si="1"/>
        <v>81.991993999999991</v>
      </c>
      <c r="K7" s="6">
        <f>0.25*3.14*(K6^2)</f>
        <v>81.991993999999991</v>
      </c>
      <c r="L7" s="6">
        <f>0.25*3.14*(L6^2)</f>
        <v>81.991993999999991</v>
      </c>
      <c r="N7" s="66"/>
      <c r="O7" s="66"/>
      <c r="P7" s="66"/>
      <c r="Q7" s="66"/>
      <c r="R7" s="66"/>
      <c r="S7" s="66"/>
      <c r="T7" s="66"/>
      <c r="U7" s="66"/>
      <c r="V7" s="66"/>
      <c r="W7" s="66"/>
    </row>
    <row r="8" spans="1:53" s="40" customFormat="1" x14ac:dyDescent="0.2">
      <c r="A8" s="13" t="s">
        <v>4</v>
      </c>
      <c r="B8" s="4" t="s">
        <v>7</v>
      </c>
      <c r="C8" s="44">
        <f>SUMPRODUCT(D8:L8,D16:L16)</f>
        <v>227</v>
      </c>
      <c r="D8" s="32">
        <f>'Present YE3'!D8</f>
        <v>2.2999999999999998</v>
      </c>
      <c r="E8" s="32">
        <v>4</v>
      </c>
      <c r="F8" s="32">
        <f>'Present YE3'!F8</f>
        <v>2</v>
      </c>
      <c r="G8" s="32">
        <f>'Present YE3'!G8</f>
        <v>2</v>
      </c>
      <c r="H8" s="32">
        <f>'Upgrade YE3 LS2'!H8</f>
        <v>2</v>
      </c>
      <c r="I8" s="32">
        <f>'Present YE3'!H8</f>
        <v>2</v>
      </c>
      <c r="J8" s="32">
        <f>'Present YE3'!I8</f>
        <v>4.7</v>
      </c>
      <c r="K8" s="32">
        <f>'Present YE3'!J8</f>
        <v>4.7</v>
      </c>
      <c r="L8" s="32">
        <f>'Present YE3'!K8</f>
        <v>9.5</v>
      </c>
      <c r="M8" s="59"/>
      <c r="N8" s="66"/>
      <c r="O8" s="66"/>
      <c r="P8" s="66"/>
      <c r="Q8" s="66"/>
      <c r="R8" s="66"/>
      <c r="S8" s="66"/>
      <c r="T8" s="66"/>
      <c r="U8" s="66"/>
      <c r="V8" s="66"/>
      <c r="W8" s="66"/>
      <c r="X8" s="59"/>
      <c r="Y8" s="59"/>
      <c r="Z8" s="59"/>
      <c r="AA8" s="59"/>
      <c r="AB8" s="59"/>
      <c r="AC8" s="59"/>
      <c r="AD8" s="59"/>
      <c r="AE8" s="59"/>
      <c r="AF8" s="59"/>
      <c r="AG8" s="59"/>
      <c r="AH8" s="59"/>
      <c r="AI8" s="59"/>
      <c r="AJ8" s="59"/>
      <c r="AK8" s="59"/>
      <c r="AL8" s="59"/>
      <c r="AM8" s="59"/>
      <c r="AN8" s="59"/>
      <c r="AO8" s="59"/>
      <c r="AP8" s="59"/>
      <c r="AQ8" s="59"/>
      <c r="AR8" s="59"/>
      <c r="AS8" s="59"/>
      <c r="AT8" s="59"/>
      <c r="AU8" s="59"/>
      <c r="AV8" s="59"/>
      <c r="AW8" s="59"/>
      <c r="AX8" s="59"/>
      <c r="AY8" s="59"/>
      <c r="AZ8" s="59"/>
      <c r="BA8" s="59"/>
    </row>
    <row r="9" spans="1:53" x14ac:dyDescent="0.2">
      <c r="A9" s="13" t="s">
        <v>38</v>
      </c>
      <c r="B9" s="4" t="s">
        <v>14</v>
      </c>
      <c r="C9" s="44">
        <f t="shared" ref="C9:J9" si="2">(C8*1000/60)/C7</f>
        <v>2.3842530394281289</v>
      </c>
      <c r="D9" s="31">
        <f t="shared" si="2"/>
        <v>0.78256193186348078</v>
      </c>
      <c r="E9" s="31">
        <f t="shared" si="2"/>
        <v>1.3609772728060536</v>
      </c>
      <c r="F9" s="31">
        <f t="shared" si="2"/>
        <v>1.1795234725171031</v>
      </c>
      <c r="G9" s="31">
        <f>(G8*1000/60)/G7</f>
        <v>1.1795234725171031</v>
      </c>
      <c r="H9" s="31">
        <f>'Upgrade YE3 LS2'!H9</f>
        <v>1.2</v>
      </c>
      <c r="I9" s="5">
        <f t="shared" si="2"/>
        <v>0.40654375759337358</v>
      </c>
      <c r="J9" s="5">
        <f t="shared" si="2"/>
        <v>0.95537783034442769</v>
      </c>
      <c r="K9" s="5">
        <f>(K8*1000/60)/K7</f>
        <v>0.95537783034442769</v>
      </c>
      <c r="L9" s="5">
        <f>(L8*1000/60)/L7</f>
        <v>1.9310828485685243</v>
      </c>
      <c r="N9" s="66"/>
      <c r="O9" s="66"/>
      <c r="P9" s="66"/>
      <c r="Q9" s="66"/>
      <c r="R9" s="66"/>
      <c r="S9" s="66"/>
      <c r="T9" s="66"/>
      <c r="U9" s="66"/>
      <c r="V9" s="66"/>
      <c r="W9" s="66"/>
    </row>
    <row r="10" spans="1:53" x14ac:dyDescent="0.2">
      <c r="A10" s="13" t="s">
        <v>42</v>
      </c>
      <c r="B10" s="4" t="s">
        <v>43</v>
      </c>
      <c r="C10" s="44">
        <f t="shared" ref="C10:J10" si="3">(C9*(C6/1000))/(1.035*10^-6)</f>
        <v>103571.03058230791</v>
      </c>
      <c r="D10" s="30">
        <f t="shared" si="3"/>
        <v>5972.7243715578552</v>
      </c>
      <c r="E10" s="30">
        <f t="shared" si="3"/>
        <v>10387.346733144097</v>
      </c>
      <c r="F10" s="30">
        <f t="shared" si="3"/>
        <v>6837.8172319832074</v>
      </c>
      <c r="G10" s="30">
        <f>(G9*(G6/1000))/(1.035*10^-6)</f>
        <v>6837.8172319832074</v>
      </c>
      <c r="H10" s="30">
        <f>'Upgrade YE3 LS2'!H10</f>
        <v>6838</v>
      </c>
      <c r="I10" s="6">
        <f t="shared" si="3"/>
        <v>4014.374108796404</v>
      </c>
      <c r="J10" s="6">
        <f t="shared" si="3"/>
        <v>9433.7791556715456</v>
      </c>
      <c r="K10" s="6">
        <f>(K9*(K6/1000))/(1.035*10^-6)</f>
        <v>9433.7791556715456</v>
      </c>
      <c r="L10" s="6">
        <f>(L9*(L6/1000))/(1.035*10^-6)</f>
        <v>19068.277016782915</v>
      </c>
      <c r="N10" s="66"/>
      <c r="O10" s="66"/>
      <c r="P10" s="66"/>
      <c r="Q10" s="66"/>
      <c r="R10" s="66"/>
      <c r="S10" s="66"/>
      <c r="T10" s="66"/>
      <c r="U10" s="66"/>
      <c r="V10" s="66"/>
      <c r="W10" s="66"/>
    </row>
    <row r="11" spans="1:53" s="40" customFormat="1" x14ac:dyDescent="0.2">
      <c r="A11" s="13" t="s">
        <v>69</v>
      </c>
      <c r="B11" s="4" t="s">
        <v>8</v>
      </c>
      <c r="C11" s="44"/>
      <c r="D11" s="30">
        <f>'Present YE3'!D11</f>
        <v>120</v>
      </c>
      <c r="E11" s="30">
        <v>260</v>
      </c>
      <c r="F11" s="30">
        <f>'Present YE3'!F11</f>
        <v>10</v>
      </c>
      <c r="G11" s="30">
        <f>'Upgrade YE3 LS2'!G11</f>
        <v>10</v>
      </c>
      <c r="H11" s="30">
        <f>'Upgrade YE3 LS2'!H11</f>
        <v>20</v>
      </c>
      <c r="I11" s="30">
        <f>'Present YE3'!H11</f>
        <v>0</v>
      </c>
      <c r="J11" s="30">
        <f>'Present YE3'!I11</f>
        <v>0</v>
      </c>
      <c r="K11" s="30">
        <f>'Present YE3'!J11</f>
        <v>0</v>
      </c>
      <c r="L11" s="30">
        <f>'Present YE3'!K11</f>
        <v>0</v>
      </c>
      <c r="M11" s="59"/>
      <c r="N11" s="66"/>
      <c r="O11" s="66"/>
      <c r="P11" s="66"/>
      <c r="Q11" s="66"/>
      <c r="R11" s="66"/>
      <c r="S11" s="66"/>
      <c r="T11" s="66"/>
      <c r="U11" s="66"/>
      <c r="V11" s="66"/>
      <c r="W11" s="66"/>
      <c r="X11" s="59"/>
      <c r="Y11" s="59"/>
      <c r="Z11" s="59"/>
      <c r="AA11" s="59"/>
      <c r="AB11" s="59"/>
      <c r="AC11" s="59"/>
      <c r="AD11" s="59"/>
      <c r="AE11" s="59"/>
      <c r="AF11" s="59"/>
      <c r="AG11" s="59"/>
      <c r="AH11" s="59"/>
      <c r="AI11" s="59"/>
      <c r="AJ11" s="59"/>
      <c r="AK11" s="59"/>
      <c r="AL11" s="59"/>
      <c r="AM11" s="59"/>
      <c r="AN11" s="59"/>
      <c r="AO11" s="59"/>
      <c r="AP11" s="59"/>
      <c r="AQ11" s="59"/>
      <c r="AR11" s="59"/>
      <c r="AS11" s="59"/>
      <c r="AT11" s="59"/>
      <c r="AU11" s="59"/>
      <c r="AV11" s="59"/>
      <c r="AW11" s="59"/>
      <c r="AX11" s="59"/>
      <c r="AY11" s="59"/>
      <c r="AZ11" s="59"/>
      <c r="BA11" s="59"/>
    </row>
    <row r="12" spans="1:53" s="40" customFormat="1" x14ac:dyDescent="0.2">
      <c r="A12" s="13" t="s">
        <v>70</v>
      </c>
      <c r="B12" s="4" t="s">
        <v>80</v>
      </c>
      <c r="C12" s="44"/>
      <c r="D12" s="30">
        <f>'Present YE3'!D12</f>
        <v>3</v>
      </c>
      <c r="E12" s="30">
        <v>3</v>
      </c>
      <c r="F12" s="111">
        <v>6</v>
      </c>
      <c r="G12" s="30">
        <f>'Upgrade YE3 LS2'!G12</f>
        <v>4</v>
      </c>
      <c r="H12" s="30">
        <f>'Upgrade YE3 LS2'!H12</f>
        <v>2</v>
      </c>
      <c r="I12" s="30">
        <f>'Present YE3'!H12</f>
        <v>0</v>
      </c>
      <c r="J12" s="30">
        <f>'Present YE3'!I12</f>
        <v>0</v>
      </c>
      <c r="K12" s="30">
        <f>'Present YE3'!J12</f>
        <v>0</v>
      </c>
      <c r="L12" s="30">
        <f>'Present YE3'!K12</f>
        <v>0</v>
      </c>
      <c r="M12" s="59"/>
      <c r="N12" s="66"/>
      <c r="O12" s="66"/>
      <c r="P12" s="66"/>
      <c r="Q12" s="66"/>
      <c r="R12" s="66"/>
      <c r="S12" s="66"/>
      <c r="T12" s="66"/>
      <c r="U12" s="66"/>
      <c r="V12" s="66"/>
      <c r="W12" s="66"/>
      <c r="X12" s="59"/>
      <c r="Y12" s="59"/>
      <c r="Z12" s="59"/>
      <c r="AA12" s="59"/>
      <c r="AB12" s="59"/>
      <c r="AC12" s="59"/>
      <c r="AD12" s="59"/>
      <c r="AE12" s="59"/>
      <c r="AF12" s="59"/>
      <c r="AG12" s="59"/>
      <c r="AH12" s="59"/>
      <c r="AI12" s="59"/>
      <c r="AJ12" s="59"/>
      <c r="AK12" s="59"/>
      <c r="AL12" s="59"/>
      <c r="AM12" s="59"/>
      <c r="AN12" s="59"/>
      <c r="AO12" s="59"/>
      <c r="AP12" s="59"/>
      <c r="AQ12" s="59"/>
      <c r="AR12" s="59"/>
      <c r="AS12" s="59"/>
      <c r="AT12" s="59"/>
      <c r="AU12" s="59"/>
      <c r="AV12" s="59"/>
      <c r="AW12" s="59"/>
      <c r="AX12" s="59"/>
      <c r="AY12" s="59"/>
      <c r="AZ12" s="59"/>
      <c r="BA12" s="59"/>
    </row>
    <row r="13" spans="1:53" x14ac:dyDescent="0.2">
      <c r="A13" s="13" t="s">
        <v>17</v>
      </c>
      <c r="B13" s="4" t="s">
        <v>8</v>
      </c>
      <c r="C13" s="44">
        <f>SUMPRODUCT(D13:L13,D16:L16)</f>
        <v>23412</v>
      </c>
      <c r="D13" s="30">
        <v>360</v>
      </c>
      <c r="E13" s="30">
        <v>780</v>
      </c>
      <c r="F13" s="6">
        <f>F12*F11</f>
        <v>60</v>
      </c>
      <c r="G13" s="30">
        <f>G12*G11</f>
        <v>40</v>
      </c>
      <c r="H13" s="30">
        <f>'Upgrade YE3 LS2'!H13</f>
        <v>40</v>
      </c>
      <c r="I13" s="6"/>
      <c r="J13" s="6">
        <v>426</v>
      </c>
      <c r="K13" s="6">
        <v>1000</v>
      </c>
      <c r="L13" s="6">
        <v>2516</v>
      </c>
      <c r="N13" s="66"/>
      <c r="O13" s="66"/>
      <c r="P13" s="66"/>
      <c r="Q13" s="66"/>
      <c r="R13" s="66"/>
      <c r="S13" s="66"/>
      <c r="T13" s="66"/>
      <c r="U13" s="66"/>
      <c r="V13" s="66"/>
      <c r="W13" s="66"/>
    </row>
    <row r="14" spans="1:53" x14ac:dyDescent="0.2">
      <c r="A14" s="13" t="s">
        <v>20</v>
      </c>
      <c r="B14" s="4" t="s">
        <v>5</v>
      </c>
      <c r="C14" s="44">
        <f t="shared" ref="C14:J14" si="4">C13/(C8/60)/4180</f>
        <v>1.4804291465548134</v>
      </c>
      <c r="D14" s="31">
        <f t="shared" si="4"/>
        <v>2.2467235281880593</v>
      </c>
      <c r="E14" s="31">
        <f t="shared" si="4"/>
        <v>2.799043062200957</v>
      </c>
      <c r="F14" s="5">
        <f t="shared" si="4"/>
        <v>0.43062200956937802</v>
      </c>
      <c r="G14" s="5">
        <f>G13/(G8/60)/4180</f>
        <v>0.28708133971291866</v>
      </c>
      <c r="H14" s="5">
        <f>'Upgrade YE3 LS2'!H14</f>
        <v>0.2</v>
      </c>
      <c r="I14" s="5">
        <f t="shared" si="4"/>
        <v>0</v>
      </c>
      <c r="J14" s="5">
        <f t="shared" si="4"/>
        <v>1.3010281991245036</v>
      </c>
      <c r="K14" s="5">
        <f>K13/(K8/60)/4180</f>
        <v>3.0540568054565815</v>
      </c>
      <c r="L14" s="5">
        <f>L13/(L8/60)/4180</f>
        <v>3.8015613195668601</v>
      </c>
      <c r="N14" s="66"/>
      <c r="O14" s="66"/>
      <c r="P14" s="66"/>
      <c r="Q14" s="66"/>
      <c r="R14" s="66"/>
      <c r="S14" s="66"/>
      <c r="T14" s="66"/>
      <c r="U14" s="66"/>
      <c r="V14" s="66"/>
      <c r="W14" s="66"/>
    </row>
    <row r="15" spans="1:53" x14ac:dyDescent="0.2">
      <c r="A15" s="13"/>
      <c r="B15" s="4"/>
      <c r="C15" s="44"/>
      <c r="D15" s="4"/>
      <c r="E15" s="4"/>
      <c r="F15" s="4"/>
      <c r="G15" s="4"/>
      <c r="H15" s="4">
        <f>'Upgrade YE3 LS2'!H15</f>
        <v>0</v>
      </c>
      <c r="I15" s="4"/>
      <c r="J15" s="4"/>
      <c r="K15" s="4"/>
      <c r="L15" s="4"/>
      <c r="N15" s="66"/>
      <c r="O15" s="66"/>
      <c r="P15" s="66"/>
      <c r="Q15" s="66"/>
      <c r="R15" s="66"/>
      <c r="S15" s="66"/>
      <c r="T15" s="66"/>
      <c r="U15" s="66"/>
      <c r="V15" s="66"/>
      <c r="W15" s="66"/>
    </row>
    <row r="16" spans="1:53" s="40" customFormat="1" x14ac:dyDescent="0.2">
      <c r="A16" s="13" t="s">
        <v>9</v>
      </c>
      <c r="B16" s="4" t="s">
        <v>10</v>
      </c>
      <c r="C16" s="44">
        <v>1</v>
      </c>
      <c r="D16" s="30">
        <f>'Present YE3'!D16</f>
        <v>12</v>
      </c>
      <c r="E16" s="30">
        <v>6</v>
      </c>
      <c r="F16" s="30">
        <f>'Present YE3'!F16</f>
        <v>18</v>
      </c>
      <c r="G16" s="30">
        <f>'Present YE3'!G16</f>
        <v>18</v>
      </c>
      <c r="H16" s="30">
        <f>'Upgrade YE3 LS2'!H16</f>
        <v>9</v>
      </c>
      <c r="I16" s="30">
        <v>12</v>
      </c>
      <c r="J16" s="30">
        <f>'Present YE3'!I16</f>
        <v>4</v>
      </c>
      <c r="K16" s="30">
        <f>'Present YE3'!J16</f>
        <v>3</v>
      </c>
      <c r="L16" s="30">
        <f>'Present YE3'!K16</f>
        <v>3</v>
      </c>
      <c r="M16" s="59"/>
      <c r="N16" s="66"/>
      <c r="O16" s="66"/>
      <c r="P16" s="66"/>
      <c r="Q16" s="66"/>
      <c r="R16" s="66"/>
      <c r="S16" s="66"/>
      <c r="T16" s="66"/>
      <c r="U16" s="66"/>
      <c r="V16" s="66"/>
      <c r="W16" s="66"/>
      <c r="X16" s="59"/>
      <c r="Y16" s="59"/>
      <c r="Z16" s="59"/>
      <c r="AA16" s="59"/>
      <c r="AB16" s="59"/>
      <c r="AC16" s="59"/>
      <c r="AD16" s="59"/>
      <c r="AE16" s="59"/>
      <c r="AF16" s="59"/>
      <c r="AG16" s="59"/>
      <c r="AH16" s="59"/>
      <c r="AI16" s="59"/>
      <c r="AJ16" s="59"/>
      <c r="AK16" s="59"/>
      <c r="AL16" s="59"/>
      <c r="AM16" s="59"/>
      <c r="AN16" s="59"/>
      <c r="AO16" s="59"/>
      <c r="AP16" s="59"/>
      <c r="AQ16" s="59"/>
      <c r="AR16" s="59"/>
      <c r="AS16" s="59"/>
      <c r="AT16" s="59"/>
      <c r="AU16" s="59"/>
      <c r="AV16" s="59"/>
      <c r="AW16" s="59"/>
      <c r="AX16" s="59"/>
      <c r="AY16" s="59"/>
      <c r="AZ16" s="59"/>
      <c r="BA16" s="59"/>
    </row>
    <row r="17" spans="1:39" x14ac:dyDescent="0.2">
      <c r="A17" s="13" t="s">
        <v>19</v>
      </c>
      <c r="B17" s="4" t="s">
        <v>7</v>
      </c>
      <c r="C17" s="44">
        <f>SUM(D17:L17)</f>
        <v>227</v>
      </c>
      <c r="D17" s="4">
        <f>D16*D8</f>
        <v>27.599999999999998</v>
      </c>
      <c r="E17" s="4">
        <f>E16*E8</f>
        <v>24</v>
      </c>
      <c r="F17" s="4">
        <f t="shared" ref="F17" si="5">F16*F8</f>
        <v>36</v>
      </c>
      <c r="G17" s="4">
        <f>G16*G8</f>
        <v>36</v>
      </c>
      <c r="H17" s="4">
        <f>'Upgrade YE3 LS2'!H17</f>
        <v>18</v>
      </c>
      <c r="I17" s="129">
        <f t="shared" ref="I17" si="6">I16*I8</f>
        <v>24</v>
      </c>
      <c r="J17" s="4">
        <f t="shared" ref="F17:L17" si="7">J16*J8</f>
        <v>18.8</v>
      </c>
      <c r="K17" s="4">
        <f t="shared" si="7"/>
        <v>14.100000000000001</v>
      </c>
      <c r="L17" s="4">
        <f t="shared" si="7"/>
        <v>28.5</v>
      </c>
      <c r="N17" s="66"/>
      <c r="O17" s="66"/>
      <c r="P17" s="66"/>
      <c r="Q17" s="66"/>
      <c r="R17" s="66"/>
      <c r="S17" s="66"/>
      <c r="T17" s="66"/>
      <c r="U17" s="66"/>
      <c r="V17" s="66"/>
      <c r="W17" s="66"/>
    </row>
    <row r="18" spans="1:39" x14ac:dyDescent="0.2">
      <c r="A18" s="13" t="s">
        <v>22</v>
      </c>
      <c r="B18" s="4" t="s">
        <v>8</v>
      </c>
      <c r="C18" s="44">
        <f>SUM(D18:L18)</f>
        <v>23412</v>
      </c>
      <c r="D18" s="6">
        <f>D16*D13</f>
        <v>4320</v>
      </c>
      <c r="E18" s="6">
        <f>E16*E13</f>
        <v>4680</v>
      </c>
      <c r="F18" s="6">
        <f>F16*F13</f>
        <v>1080</v>
      </c>
      <c r="G18" s="6">
        <f>G16*G13</f>
        <v>720</v>
      </c>
      <c r="H18" s="6">
        <f>'Upgrade YE3 LS2'!H18</f>
        <v>360</v>
      </c>
      <c r="I18" s="6"/>
      <c r="J18" s="6">
        <f>J16*J13</f>
        <v>1704</v>
      </c>
      <c r="K18" s="6">
        <f>K16*K13</f>
        <v>3000</v>
      </c>
      <c r="L18" s="6">
        <f>L16*L13</f>
        <v>7548</v>
      </c>
      <c r="N18" s="66"/>
      <c r="O18" s="66"/>
      <c r="P18" s="66"/>
      <c r="Q18" s="66"/>
      <c r="R18" s="66"/>
      <c r="S18" s="66"/>
      <c r="T18" s="66"/>
      <c r="U18" s="66"/>
      <c r="V18" s="66"/>
      <c r="W18" s="66"/>
    </row>
    <row r="19" spans="1:39" x14ac:dyDescent="0.2">
      <c r="A19" s="13" t="s">
        <v>24</v>
      </c>
      <c r="B19" s="4" t="s">
        <v>8</v>
      </c>
      <c r="C19" s="44"/>
      <c r="D19" s="4"/>
      <c r="E19" s="4"/>
      <c r="F19" s="4"/>
      <c r="G19" s="4"/>
      <c r="H19" s="4"/>
      <c r="I19" s="3">
        <f>I16*I13</f>
        <v>0</v>
      </c>
      <c r="J19" s="3"/>
      <c r="K19" s="4"/>
      <c r="L19" s="4"/>
      <c r="N19" s="66"/>
      <c r="O19" s="66"/>
      <c r="P19" s="66"/>
      <c r="Q19" s="66"/>
      <c r="R19" s="66"/>
      <c r="S19" s="66"/>
      <c r="T19" s="66"/>
      <c r="U19" s="66"/>
      <c r="V19" s="66"/>
      <c r="W19" s="66"/>
    </row>
    <row r="20" spans="1:39" x14ac:dyDescent="0.2">
      <c r="A20" s="13"/>
      <c r="B20" s="4"/>
      <c r="C20" s="44"/>
      <c r="D20" s="4"/>
      <c r="E20" s="4"/>
      <c r="F20" s="4"/>
      <c r="G20" s="4"/>
      <c r="H20" s="4"/>
      <c r="I20" s="3"/>
      <c r="J20" s="3"/>
      <c r="K20" s="4"/>
      <c r="L20" s="4"/>
      <c r="N20" s="66"/>
      <c r="O20" s="66"/>
      <c r="P20" s="66"/>
      <c r="Q20" s="66"/>
      <c r="R20" s="66"/>
      <c r="S20" s="66"/>
      <c r="T20" s="66"/>
      <c r="U20" s="66"/>
      <c r="V20" s="66"/>
      <c r="W20" s="66"/>
    </row>
    <row r="21" spans="1:39" x14ac:dyDescent="0.2">
      <c r="A21" s="13" t="s">
        <v>15</v>
      </c>
      <c r="B21" s="4" t="s">
        <v>0</v>
      </c>
      <c r="C21" s="44"/>
      <c r="D21" s="4"/>
      <c r="E21" s="4"/>
      <c r="F21" s="4"/>
      <c r="G21" s="4"/>
      <c r="H21" s="4"/>
      <c r="I21" s="4"/>
      <c r="J21" s="4"/>
      <c r="K21" s="4"/>
      <c r="L21" s="4"/>
      <c r="N21" s="66"/>
      <c r="O21" s="66"/>
      <c r="P21" s="66"/>
      <c r="Q21" s="66"/>
      <c r="R21" s="66"/>
      <c r="S21" s="66"/>
      <c r="T21" s="66"/>
      <c r="U21" s="66"/>
      <c r="V21" s="66"/>
      <c r="W21" s="66"/>
    </row>
    <row r="22" spans="1:39" x14ac:dyDescent="0.2">
      <c r="A22" s="12"/>
      <c r="B22" s="10"/>
      <c r="C22" s="10"/>
      <c r="D22" s="10"/>
      <c r="E22" s="10"/>
      <c r="F22" s="10"/>
      <c r="G22" s="10"/>
      <c r="H22" s="10"/>
      <c r="I22" s="12"/>
      <c r="J22" s="12"/>
      <c r="K22" s="10"/>
      <c r="L22" s="10"/>
      <c r="N22" s="66"/>
      <c r="O22" s="66"/>
      <c r="P22" s="66"/>
      <c r="Q22" s="66"/>
      <c r="R22" s="66"/>
      <c r="S22" s="66"/>
      <c r="T22" s="66"/>
      <c r="U22" s="66"/>
      <c r="V22" s="66"/>
      <c r="W22" s="66"/>
    </row>
    <row r="23" spans="1:39" x14ac:dyDescent="0.2">
      <c r="A23" s="62" t="s">
        <v>75</v>
      </c>
      <c r="B23" s="10"/>
      <c r="C23" s="10"/>
      <c r="D23" s="10"/>
      <c r="E23" s="10"/>
      <c r="F23" s="10"/>
      <c r="G23" s="10"/>
      <c r="H23" s="10"/>
      <c r="I23" s="12"/>
      <c r="J23" s="12"/>
      <c r="K23" s="10"/>
      <c r="L23" s="10"/>
      <c r="N23" s="66"/>
      <c r="O23" s="66"/>
      <c r="P23" s="66"/>
      <c r="Q23" s="66"/>
      <c r="R23" s="66"/>
      <c r="S23" s="66"/>
      <c r="T23" s="66"/>
      <c r="U23" s="66"/>
      <c r="V23" s="66"/>
      <c r="W23" s="66"/>
    </row>
    <row r="24" spans="1:39" x14ac:dyDescent="0.2">
      <c r="A24" s="16" t="s">
        <v>19</v>
      </c>
      <c r="B24" s="17" t="s">
        <v>7</v>
      </c>
      <c r="C24" s="18">
        <f>C8</f>
        <v>227</v>
      </c>
      <c r="D24" s="2"/>
      <c r="E24" s="2"/>
      <c r="F24" s="2"/>
      <c r="G24" s="2"/>
      <c r="H24" s="2"/>
      <c r="K24" s="2"/>
      <c r="L24" s="2"/>
      <c r="N24" s="66"/>
      <c r="O24" s="66"/>
      <c r="P24" s="66"/>
      <c r="Q24" s="66"/>
      <c r="R24" s="66"/>
      <c r="S24" s="66"/>
      <c r="T24" s="66"/>
      <c r="U24" s="66"/>
      <c r="V24" s="66"/>
      <c r="W24" s="66"/>
    </row>
    <row r="25" spans="1:39" x14ac:dyDescent="0.2">
      <c r="A25" s="16" t="s">
        <v>23</v>
      </c>
      <c r="B25" s="17" t="s">
        <v>94</v>
      </c>
      <c r="C25" s="18">
        <f>C18/1000</f>
        <v>23.411999999999999</v>
      </c>
      <c r="D25" s="2"/>
      <c r="E25" s="2"/>
      <c r="F25" s="2"/>
      <c r="G25" s="2"/>
      <c r="H25" s="2"/>
      <c r="K25" s="2"/>
      <c r="L25" s="2"/>
      <c r="N25" s="66"/>
      <c r="O25" s="66"/>
      <c r="P25" s="66"/>
      <c r="Q25" s="66"/>
      <c r="R25" s="66"/>
      <c r="S25" s="66"/>
      <c r="T25" s="66"/>
      <c r="U25" s="66"/>
      <c r="V25" s="66"/>
      <c r="W25" s="66"/>
    </row>
    <row r="26" spans="1:39" x14ac:dyDescent="0.2">
      <c r="A26" s="16" t="s">
        <v>21</v>
      </c>
      <c r="B26" s="17" t="s">
        <v>5</v>
      </c>
      <c r="C26" s="19">
        <f>C25/(C24/60)/4.18</f>
        <v>1.4804291465548132</v>
      </c>
      <c r="D26" s="2"/>
      <c r="E26" s="2"/>
      <c r="F26" s="2"/>
      <c r="G26" s="2"/>
      <c r="H26" s="2"/>
      <c r="K26" s="2"/>
      <c r="L26" s="2"/>
      <c r="N26" s="66"/>
      <c r="O26" s="66"/>
      <c r="P26" s="66"/>
      <c r="Q26" s="66"/>
      <c r="R26" s="66"/>
      <c r="S26" s="66"/>
      <c r="T26" s="66"/>
      <c r="U26" s="66"/>
      <c r="V26" s="66"/>
      <c r="W26" s="66"/>
    </row>
    <row r="27" spans="1:39" x14ac:dyDescent="0.2">
      <c r="B27" s="2"/>
      <c r="C27" s="2"/>
      <c r="D27" s="2"/>
      <c r="E27" s="2"/>
      <c r="F27" s="2"/>
      <c r="G27" s="2"/>
      <c r="H27" s="2"/>
      <c r="K27" s="2"/>
      <c r="L27" s="2"/>
      <c r="N27" s="66"/>
      <c r="O27" s="66"/>
      <c r="P27" s="66"/>
      <c r="Q27" s="66"/>
      <c r="R27" s="66"/>
      <c r="S27" s="66"/>
      <c r="T27" s="66"/>
      <c r="U27" s="66"/>
      <c r="V27" s="66"/>
      <c r="W27" s="66"/>
    </row>
    <row r="28" spans="1:39" x14ac:dyDescent="0.2">
      <c r="B28" s="2"/>
      <c r="C28" s="2"/>
      <c r="D28" s="2"/>
      <c r="E28" s="2"/>
      <c r="F28" s="2"/>
      <c r="G28" s="2"/>
      <c r="H28" s="2"/>
      <c r="K28" s="2"/>
      <c r="L28" s="2"/>
    </row>
    <row r="29" spans="1:39" x14ac:dyDescent="0.2">
      <c r="A29" s="133" t="s">
        <v>128</v>
      </c>
      <c r="B29" s="2"/>
      <c r="C29" s="2"/>
      <c r="D29" s="2"/>
      <c r="E29" s="2"/>
      <c r="F29" s="2"/>
      <c r="G29" s="2"/>
      <c r="H29" s="2"/>
      <c r="K29" s="2"/>
      <c r="L29" s="2"/>
    </row>
    <row r="30" spans="1:39" s="33" customFormat="1" x14ac:dyDescent="0.2">
      <c r="A30" t="s">
        <v>132</v>
      </c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59"/>
      <c r="T30" s="59"/>
      <c r="U30" s="59"/>
      <c r="V30" s="59"/>
      <c r="W30" s="59"/>
      <c r="X30" s="59"/>
      <c r="Y30" s="59"/>
      <c r="Z30" s="59"/>
      <c r="AA30" s="59"/>
      <c r="AB30" s="59"/>
      <c r="AC30" s="59"/>
      <c r="AD30" s="59"/>
      <c r="AE30" s="59"/>
      <c r="AF30" s="59"/>
      <c r="AG30" s="59"/>
      <c r="AH30" s="59"/>
      <c r="AI30" s="59"/>
      <c r="AJ30" s="59"/>
      <c r="AK30" s="59"/>
      <c r="AL30" s="59"/>
      <c r="AM30" s="59"/>
    </row>
  </sheetData>
  <pageMargins left="0.75" right="0.75" top="1" bottom="1" header="0.5" footer="0.5"/>
  <pageSetup orientation="landscape"/>
  <headerFooter alignWithMargins="0"/>
  <legacy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P66" sqref="P66"/>
    </sheetView>
  </sheetViews>
  <sheetFormatPr defaultColWidth="11.42578125" defaultRowHeight="12.7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35"/>
  <sheetViews>
    <sheetView showGridLines="0" zoomScaleNormal="120" workbookViewId="0">
      <selection activeCell="C28" sqref="C28"/>
    </sheetView>
  </sheetViews>
  <sheetFormatPr defaultColWidth="8.85546875" defaultRowHeight="12.75" x14ac:dyDescent="0.2"/>
  <cols>
    <col min="1" max="1" width="32.85546875" customWidth="1"/>
    <col min="3" max="5" width="13.28515625" customWidth="1"/>
    <col min="6" max="6" width="12.28515625" customWidth="1"/>
    <col min="7" max="7" width="11.140625" customWidth="1"/>
    <col min="8" max="8" width="13.28515625" customWidth="1"/>
    <col min="9" max="9" width="12.28515625" customWidth="1"/>
    <col min="10" max="10" width="13.85546875" customWidth="1"/>
  </cols>
  <sheetData>
    <row r="1" spans="1:9" ht="18" x14ac:dyDescent="0.25">
      <c r="A1" s="21"/>
      <c r="F1" s="21"/>
    </row>
    <row r="2" spans="1:9" s="107" customFormat="1" ht="38.25" x14ac:dyDescent="0.2">
      <c r="A2" s="107" t="s">
        <v>86</v>
      </c>
      <c r="B2" s="108"/>
      <c r="C2" s="107" t="s">
        <v>95</v>
      </c>
      <c r="D2" s="107" t="s">
        <v>101</v>
      </c>
      <c r="E2" s="107" t="s">
        <v>105</v>
      </c>
      <c r="F2" s="109" t="s">
        <v>98</v>
      </c>
      <c r="G2" s="107" t="s">
        <v>81</v>
      </c>
      <c r="H2" s="107" t="s">
        <v>112</v>
      </c>
      <c r="I2" s="109" t="s">
        <v>99</v>
      </c>
    </row>
    <row r="3" spans="1:9" s="59" customFormat="1" x14ac:dyDescent="0.2">
      <c r="A3" s="16" t="s">
        <v>49</v>
      </c>
      <c r="B3" s="17" t="s">
        <v>7</v>
      </c>
      <c r="C3" s="19">
        <f>2*'Present YE1 '!C24</f>
        <v>740.8</v>
      </c>
      <c r="D3" s="78">
        <f>2*'Upgr YE1 LS2'!C24</f>
        <v>798.8</v>
      </c>
      <c r="E3" s="78">
        <f>D3-C3</f>
        <v>58</v>
      </c>
      <c r="F3" s="114">
        <f>C3</f>
        <v>740.8</v>
      </c>
      <c r="G3" s="116">
        <f>2*'Upgr YE1 LS3'!C24</f>
        <v>730.8</v>
      </c>
      <c r="H3" s="116">
        <f>G3-C3</f>
        <v>-10</v>
      </c>
      <c r="I3" s="114">
        <f>F3</f>
        <v>740.8</v>
      </c>
    </row>
    <row r="4" spans="1:9" s="59" customFormat="1" x14ac:dyDescent="0.2">
      <c r="A4" s="16"/>
      <c r="B4" s="17" t="s">
        <v>61</v>
      </c>
      <c r="C4" s="19">
        <f>C3*60/1000</f>
        <v>44.448</v>
      </c>
      <c r="D4" s="19">
        <f>D3*60/1000</f>
        <v>47.927999999999997</v>
      </c>
      <c r="E4" s="78">
        <f>D4-C4</f>
        <v>3.4799999999999969</v>
      </c>
      <c r="F4" s="114">
        <f>F3*60/1000</f>
        <v>44.448</v>
      </c>
      <c r="G4" s="117">
        <f>G3*60/1000</f>
        <v>43.847999999999999</v>
      </c>
      <c r="H4" s="116"/>
      <c r="I4" s="114">
        <f>I3*60/1000</f>
        <v>44.448</v>
      </c>
    </row>
    <row r="5" spans="1:9" s="59" customFormat="1" x14ac:dyDescent="0.2">
      <c r="A5" s="16" t="s">
        <v>23</v>
      </c>
      <c r="B5" s="17" t="s">
        <v>94</v>
      </c>
      <c r="C5" s="19">
        <f>2*'Present YE1 '!C25</f>
        <v>72.995999999999995</v>
      </c>
      <c r="D5" s="78">
        <f>2*'Upgr YE1 LS2'!C25</f>
        <v>89.28</v>
      </c>
      <c r="E5" s="78">
        <f>D5-C5</f>
        <v>16.284000000000006</v>
      </c>
      <c r="F5" s="115">
        <f>D5</f>
        <v>89.28</v>
      </c>
      <c r="G5" s="116">
        <f>2*'Upgr YE1 LS3'!C25</f>
        <v>66.311999999999998</v>
      </c>
      <c r="H5" s="116">
        <f>G5-D5</f>
        <v>-22.968000000000004</v>
      </c>
      <c r="I5" s="114">
        <f>G5</f>
        <v>66.311999999999998</v>
      </c>
    </row>
    <row r="6" spans="1:9" s="59" customFormat="1" x14ac:dyDescent="0.2">
      <c r="A6" s="16" t="s">
        <v>21</v>
      </c>
      <c r="B6" s="17" t="s">
        <v>5</v>
      </c>
      <c r="C6" s="19">
        <f>C5/(C3/60)/4.18</f>
        <v>1.4144026372627032</v>
      </c>
      <c r="D6" s="19">
        <f>D5/(D3/60)/4.18</f>
        <v>1.6043203561322847</v>
      </c>
      <c r="E6" s="19"/>
      <c r="F6" s="114">
        <f>F5/(F3/60)/4.18</f>
        <v>1.7299285913586244</v>
      </c>
      <c r="G6" s="117">
        <f>G5/(G3/60)/4.18</f>
        <v>1.3024724821458034</v>
      </c>
      <c r="H6" s="117"/>
      <c r="I6" s="114">
        <f>I5/(I3/60)/4.18</f>
        <v>1.2848905101945911</v>
      </c>
    </row>
    <row r="7" spans="1:9" s="59" customFormat="1" ht="18" x14ac:dyDescent="0.25">
      <c r="A7" s="20"/>
      <c r="B7" s="33"/>
      <c r="C7" s="42"/>
      <c r="G7" s="42"/>
    </row>
    <row r="8" spans="1:9" s="119" customFormat="1" ht="38.25" x14ac:dyDescent="0.2">
      <c r="A8" s="108" t="s">
        <v>87</v>
      </c>
      <c r="B8" s="118"/>
      <c r="C8" s="107" t="s">
        <v>95</v>
      </c>
      <c r="D8" s="107" t="s">
        <v>101</v>
      </c>
      <c r="E8" s="107" t="s">
        <v>105</v>
      </c>
      <c r="F8" s="109" t="s">
        <v>98</v>
      </c>
      <c r="G8" s="107" t="s">
        <v>81</v>
      </c>
      <c r="H8" s="107" t="s">
        <v>104</v>
      </c>
      <c r="I8" s="109" t="s">
        <v>99</v>
      </c>
    </row>
    <row r="9" spans="1:9" s="59" customFormat="1" x14ac:dyDescent="0.2">
      <c r="A9" s="16" t="s">
        <v>19</v>
      </c>
      <c r="B9" s="17" t="s">
        <v>7</v>
      </c>
      <c r="C9" s="19">
        <f>2*'Present YE2 '!C25</f>
        <v>0</v>
      </c>
      <c r="D9" s="78" t="e">
        <f>2*'Upgr YE2  LS2 '!C25</f>
        <v>#REF!</v>
      </c>
      <c r="E9" s="78" t="e">
        <f>D9-C9</f>
        <v>#REF!</v>
      </c>
      <c r="F9" s="114">
        <f>C9</f>
        <v>0</v>
      </c>
      <c r="G9" s="116" t="e">
        <f>2*'Upgr YE2  LS3'!C25</f>
        <v>#REF!</v>
      </c>
      <c r="H9" s="116" t="e">
        <f>G9-C9</f>
        <v>#REF!</v>
      </c>
      <c r="I9" s="114">
        <f>F9</f>
        <v>0</v>
      </c>
    </row>
    <row r="10" spans="1:9" s="59" customFormat="1" x14ac:dyDescent="0.2">
      <c r="A10" s="16"/>
      <c r="B10" s="17" t="s">
        <v>61</v>
      </c>
      <c r="C10" s="19">
        <f>C9*60/1000</f>
        <v>0</v>
      </c>
      <c r="D10" s="19" t="e">
        <f t="shared" ref="D10:G10" si="0">D9*60/1000</f>
        <v>#REF!</v>
      </c>
      <c r="E10" s="78" t="e">
        <f>D10-C10</f>
        <v>#REF!</v>
      </c>
      <c r="F10" s="114">
        <f>F9*60/1000</f>
        <v>0</v>
      </c>
      <c r="G10" s="117" t="e">
        <f t="shared" si="0"/>
        <v>#REF!</v>
      </c>
      <c r="H10" s="116"/>
      <c r="I10" s="114">
        <f>I9*60/1000</f>
        <v>0</v>
      </c>
    </row>
    <row r="11" spans="1:9" s="59" customFormat="1" x14ac:dyDescent="0.2">
      <c r="A11" s="16" t="s">
        <v>23</v>
      </c>
      <c r="B11" s="17" t="s">
        <v>94</v>
      </c>
      <c r="C11" s="19">
        <f>2*'Present YE2 '!C26</f>
        <v>0</v>
      </c>
      <c r="D11" s="78">
        <f>2*'Upgr YE2  LS2 '!C26</f>
        <v>63.423999999999999</v>
      </c>
      <c r="E11" s="78">
        <f>D11-C11</f>
        <v>63.423999999999999</v>
      </c>
      <c r="F11" s="115">
        <f>D11</f>
        <v>63.423999999999999</v>
      </c>
      <c r="G11" s="116">
        <f>2*'Upgr YE2  LS3'!C26</f>
        <v>63.423999999999999</v>
      </c>
      <c r="H11" s="116">
        <f>G11-C11</f>
        <v>63.423999999999999</v>
      </c>
      <c r="I11" s="114">
        <f>G11</f>
        <v>63.423999999999999</v>
      </c>
    </row>
    <row r="12" spans="1:9" s="59" customFormat="1" x14ac:dyDescent="0.2">
      <c r="A12" s="16" t="s">
        <v>21</v>
      </c>
      <c r="B12" s="17" t="s">
        <v>5</v>
      </c>
      <c r="C12" s="19" t="e">
        <f>C11/(C9/60)/4.18</f>
        <v>#DIV/0!</v>
      </c>
      <c r="D12" s="19" t="e">
        <f>D11/(D9/60)/4.18</f>
        <v>#REF!</v>
      </c>
      <c r="E12" s="19"/>
      <c r="F12" s="114" t="e">
        <f>F11/(F9/60)/4.18</f>
        <v>#DIV/0!</v>
      </c>
      <c r="G12" s="117" t="e">
        <f>G11/(G9/60)/4.18</f>
        <v>#REF!</v>
      </c>
      <c r="H12" s="117"/>
      <c r="I12" s="114" t="e">
        <f>I11/(I9/60)/4.18</f>
        <v>#DIV/0!</v>
      </c>
    </row>
    <row r="13" spans="1:9" s="59" customFormat="1" ht="18" x14ac:dyDescent="0.25">
      <c r="A13" s="20"/>
      <c r="B13" s="33"/>
      <c r="C13" s="42"/>
      <c r="G13" s="42"/>
    </row>
    <row r="14" spans="1:9" s="119" customFormat="1" ht="38.25" x14ac:dyDescent="0.2">
      <c r="A14" s="108" t="s">
        <v>88</v>
      </c>
      <c r="C14" s="107" t="s">
        <v>95</v>
      </c>
      <c r="D14" s="107" t="s">
        <v>101</v>
      </c>
      <c r="E14" s="107" t="s">
        <v>105</v>
      </c>
      <c r="F14" s="109" t="s">
        <v>98</v>
      </c>
      <c r="G14" s="107" t="s">
        <v>81</v>
      </c>
      <c r="H14" s="107" t="s">
        <v>104</v>
      </c>
      <c r="I14" s="109" t="s">
        <v>99</v>
      </c>
    </row>
    <row r="15" spans="1:9" s="59" customFormat="1" x14ac:dyDescent="0.2">
      <c r="A15" s="16" t="s">
        <v>19</v>
      </c>
      <c r="B15" s="17" t="s">
        <v>7</v>
      </c>
      <c r="C15" s="19">
        <f>2*'Present YE3'!C24</f>
        <v>397.6</v>
      </c>
      <c r="D15" s="78">
        <f>2*'Upgrade YE3 LS2'!C24</f>
        <v>454</v>
      </c>
      <c r="E15" s="78">
        <f t="shared" ref="E15:E16" si="1">D15-C15</f>
        <v>56.399999999999977</v>
      </c>
      <c r="F15" s="114">
        <f>C15</f>
        <v>397.6</v>
      </c>
      <c r="G15" s="116">
        <f>2*'Upgrade YE3 LS3'!C24</f>
        <v>454</v>
      </c>
      <c r="H15" s="116">
        <f>G15-C15</f>
        <v>56.399999999999977</v>
      </c>
      <c r="I15" s="114">
        <f>F15</f>
        <v>397.6</v>
      </c>
    </row>
    <row r="16" spans="1:9" s="59" customFormat="1" x14ac:dyDescent="0.2">
      <c r="A16" s="16"/>
      <c r="B16" s="17" t="s">
        <v>61</v>
      </c>
      <c r="C16" s="19">
        <f>C15*60/1000</f>
        <v>23.856000000000002</v>
      </c>
      <c r="D16" s="19">
        <f t="shared" ref="D16:F16" si="2">D15*60/1000</f>
        <v>27.24</v>
      </c>
      <c r="E16" s="78">
        <f t="shared" si="1"/>
        <v>3.3839999999999968</v>
      </c>
      <c r="F16" s="114">
        <f t="shared" si="2"/>
        <v>23.856000000000002</v>
      </c>
      <c r="G16" s="117">
        <f>G15*60/1000</f>
        <v>27.24</v>
      </c>
      <c r="H16" s="116"/>
      <c r="I16" s="114">
        <f>I15*60/1000</f>
        <v>23.856000000000002</v>
      </c>
    </row>
    <row r="17" spans="1:10" s="59" customFormat="1" x14ac:dyDescent="0.2">
      <c r="A17" s="16" t="s">
        <v>23</v>
      </c>
      <c r="B17" s="17" t="s">
        <v>94</v>
      </c>
      <c r="C17" s="19">
        <f>2*'Present YE3'!C25</f>
        <v>40.451999999999998</v>
      </c>
      <c r="D17" s="78">
        <f>2*'Upgrade YE3 LS2'!C18/1000</f>
        <v>46.823999999999998</v>
      </c>
      <c r="E17" s="78">
        <f>D17-C17</f>
        <v>6.3719999999999999</v>
      </c>
      <c r="F17" s="115">
        <f>D17</f>
        <v>46.823999999999998</v>
      </c>
      <c r="G17" s="116">
        <f>2*'Upgrade YE3 LS3'!C25</f>
        <v>46.823999999999998</v>
      </c>
      <c r="H17" s="116">
        <f>G17-C17</f>
        <v>6.3719999999999999</v>
      </c>
      <c r="I17" s="114">
        <f>G17</f>
        <v>46.823999999999998</v>
      </c>
    </row>
    <row r="18" spans="1:10" s="59" customFormat="1" x14ac:dyDescent="0.2">
      <c r="A18" s="16" t="s">
        <v>21</v>
      </c>
      <c r="B18" s="17" t="s">
        <v>5</v>
      </c>
      <c r="C18" s="19">
        <f>C17/(C15/60)/4.18</f>
        <v>1.4603891290325686</v>
      </c>
      <c r="D18" s="19">
        <f t="shared" ref="D18" si="3">D17/(D15/60)/4.18</f>
        <v>1.4804291465548132</v>
      </c>
      <c r="E18" s="19"/>
      <c r="F18" s="114">
        <f>F17/(F15/60)/4.18</f>
        <v>1.6904296592954857</v>
      </c>
      <c r="G18" s="117">
        <f>G17/(G15/60)/4.18</f>
        <v>1.4804291465548132</v>
      </c>
      <c r="H18" s="117"/>
      <c r="I18" s="114">
        <f>I17/(I15/60)/4.18</f>
        <v>1.6904296592954857</v>
      </c>
    </row>
    <row r="19" spans="1:10" s="59" customFormat="1" x14ac:dyDescent="0.2">
      <c r="A19" s="35"/>
      <c r="B19" s="41"/>
      <c r="C19" s="42"/>
      <c r="D19" s="42"/>
      <c r="E19" s="42"/>
      <c r="F19" s="42"/>
      <c r="G19" s="42"/>
      <c r="H19" s="42"/>
      <c r="I19" s="42"/>
    </row>
    <row r="20" spans="1:10" s="59" customFormat="1" ht="27" customHeight="1" x14ac:dyDescent="0.25">
      <c r="A20" s="21" t="s">
        <v>89</v>
      </c>
      <c r="B20"/>
      <c r="C20" s="42"/>
      <c r="F20" s="35"/>
      <c r="G20" s="42"/>
      <c r="I20" s="35"/>
    </row>
    <row r="21" spans="1:10" s="59" customFormat="1" ht="38.25" x14ac:dyDescent="0.25">
      <c r="A21" s="34" t="s">
        <v>68</v>
      </c>
      <c r="B21" s="33"/>
      <c r="C21" s="107" t="s">
        <v>95</v>
      </c>
      <c r="D21" s="107" t="s">
        <v>101</v>
      </c>
      <c r="E21" s="107" t="s">
        <v>105</v>
      </c>
      <c r="F21" s="109" t="s">
        <v>98</v>
      </c>
      <c r="G21" s="107" t="s">
        <v>81</v>
      </c>
      <c r="H21" s="107" t="s">
        <v>104</v>
      </c>
      <c r="I21" s="109" t="s">
        <v>99</v>
      </c>
      <c r="J21" s="122" t="s">
        <v>110</v>
      </c>
    </row>
    <row r="22" spans="1:10" s="59" customFormat="1" ht="14.1" customHeight="1" x14ac:dyDescent="0.2">
      <c r="A22" s="56" t="s">
        <v>19</v>
      </c>
      <c r="B22" s="57" t="s">
        <v>7</v>
      </c>
      <c r="C22" s="58">
        <f>SUM(C3,C9,C15)</f>
        <v>1138.4000000000001</v>
      </c>
      <c r="D22" s="58" t="e">
        <f>SUM(D3,D9,D15)</f>
        <v>#REF!</v>
      </c>
      <c r="E22" s="58" t="e">
        <f>D22-C22</f>
        <v>#REF!</v>
      </c>
      <c r="F22" s="114">
        <f>J22</f>
        <v>1266.6666666666667</v>
      </c>
      <c r="G22" s="58" t="e">
        <f>SUM(G3,G9,G15)</f>
        <v>#REF!</v>
      </c>
      <c r="H22" s="58" t="e">
        <f>G22-C22</f>
        <v>#REF!</v>
      </c>
      <c r="I22" s="114">
        <f>J22</f>
        <v>1266.6666666666667</v>
      </c>
      <c r="J22" s="76">
        <f>J23*1000/60</f>
        <v>1266.6666666666667</v>
      </c>
    </row>
    <row r="23" spans="1:10" s="59" customFormat="1" x14ac:dyDescent="0.2">
      <c r="A23" s="56"/>
      <c r="B23" s="57" t="s">
        <v>61</v>
      </c>
      <c r="C23" s="58">
        <f>C22*60/1000</f>
        <v>68.304000000000002</v>
      </c>
      <c r="D23" s="58" t="e">
        <f t="shared" ref="D23" si="4">D22*60/1000</f>
        <v>#REF!</v>
      </c>
      <c r="E23" s="58" t="e">
        <f>D23-C23</f>
        <v>#REF!</v>
      </c>
      <c r="F23" s="114">
        <f>F22*60/1000</f>
        <v>76</v>
      </c>
      <c r="G23" s="58" t="e">
        <f>G22*60/1000</f>
        <v>#REF!</v>
      </c>
      <c r="H23" s="130" t="e">
        <f>H22*60/1000</f>
        <v>#REF!</v>
      </c>
      <c r="I23" s="114">
        <f>I22*60/1000</f>
        <v>76</v>
      </c>
      <c r="J23" s="76">
        <v>76</v>
      </c>
    </row>
    <row r="24" spans="1:10" s="59" customFormat="1" x14ac:dyDescent="0.2">
      <c r="A24" s="56" t="s">
        <v>23</v>
      </c>
      <c r="B24" s="57" t="s">
        <v>94</v>
      </c>
      <c r="C24" s="58">
        <f>SUM(C5,C11,C17)</f>
        <v>113.44799999999999</v>
      </c>
      <c r="D24" s="58">
        <f>SUM(D5,D11,D17)</f>
        <v>199.52800000000002</v>
      </c>
      <c r="E24" s="58">
        <f>D24-C24</f>
        <v>86.080000000000027</v>
      </c>
      <c r="F24" s="114">
        <f>SUM(F5,F11,F17)</f>
        <v>199.52800000000002</v>
      </c>
      <c r="G24" s="58">
        <f>SUM(G5,G11,G17)</f>
        <v>176.56</v>
      </c>
      <c r="H24" s="58">
        <f>G24-C24</f>
        <v>63.112000000000009</v>
      </c>
      <c r="I24" s="114">
        <f>SUM(I5,I11,I17)</f>
        <v>176.56</v>
      </c>
      <c r="J24" s="76">
        <v>137</v>
      </c>
    </row>
    <row r="25" spans="1:10" s="59" customFormat="1" x14ac:dyDescent="0.2">
      <c r="A25" s="56" t="s">
        <v>21</v>
      </c>
      <c r="B25" s="57" t="s">
        <v>5</v>
      </c>
      <c r="C25" s="58">
        <f>C24/(C22/60)/4.18</f>
        <v>1.4304639769743146</v>
      </c>
      <c r="D25" s="58" t="e">
        <f>D24/(D22/60)/4.18</f>
        <v>#REF!</v>
      </c>
      <c r="E25" s="58"/>
      <c r="F25" s="114">
        <f>F24/(F22/60)/4.18</f>
        <v>2.2610828506673384</v>
      </c>
      <c r="G25" s="58" t="e">
        <f t="shared" ref="G25" si="5">G24/(G22/60)/4.18</f>
        <v>#REF!</v>
      </c>
      <c r="H25" s="58"/>
      <c r="I25" s="114">
        <f>I24/(I22/60)/4.18</f>
        <v>2.0008058423570891</v>
      </c>
      <c r="J25" s="77">
        <f>J24/(J22/60)/4.18</f>
        <v>1.5525056660790735</v>
      </c>
    </row>
    <row r="26" spans="1:10" s="59" customFormat="1" ht="18" x14ac:dyDescent="0.25">
      <c r="A26" s="20"/>
      <c r="B26"/>
      <c r="C26" s="42"/>
      <c r="F26" s="35"/>
      <c r="G26" s="42"/>
      <c r="I26" s="35"/>
    </row>
    <row r="28" spans="1:10" s="59" customFormat="1" ht="14.1" customHeight="1" x14ac:dyDescent="0.2">
      <c r="A28" s="56" t="s">
        <v>118</v>
      </c>
      <c r="B28" s="57" t="s">
        <v>7</v>
      </c>
      <c r="C28" s="58">
        <f>SUM('Present YE1 '!N17,'Present YE2 '!F17,'Present YE3'!H17)</f>
        <v>72</v>
      </c>
      <c r="D28" s="134" t="s">
        <v>119</v>
      </c>
      <c r="E28" s="135"/>
      <c r="F28" s="135"/>
      <c r="G28" s="135"/>
      <c r="H28" s="135"/>
      <c r="I28" s="135"/>
      <c r="J28" s="135"/>
    </row>
    <row r="29" spans="1:10" s="59" customFormat="1" x14ac:dyDescent="0.2">
      <c r="A29" s="56"/>
      <c r="B29" s="57" t="s">
        <v>61</v>
      </c>
      <c r="C29" s="130">
        <f>C28*60/1000</f>
        <v>4.32</v>
      </c>
      <c r="D29" s="134"/>
      <c r="E29" s="135"/>
      <c r="F29" s="135"/>
      <c r="G29" s="135"/>
      <c r="H29" s="135"/>
      <c r="I29" s="135"/>
      <c r="J29" s="135"/>
    </row>
    <row r="31" spans="1:10" s="59" customFormat="1" x14ac:dyDescent="0.2">
      <c r="A31" s="35" t="s">
        <v>73</v>
      </c>
      <c r="B31" s="33"/>
      <c r="C31" s="85" t="s">
        <v>95</v>
      </c>
      <c r="D31" s="85"/>
      <c r="E31" s="85"/>
      <c r="F31" s="85"/>
      <c r="G31" s="61"/>
      <c r="H31" s="85"/>
      <c r="I31" s="85"/>
    </row>
    <row r="32" spans="1:10" s="59" customFormat="1" x14ac:dyDescent="0.2">
      <c r="A32" s="52" t="s">
        <v>50</v>
      </c>
      <c r="B32" s="53" t="s">
        <v>7</v>
      </c>
      <c r="C32" s="63">
        <f>'Present YE1 '!C29</f>
        <v>182.4</v>
      </c>
      <c r="F32" s="114">
        <v>1266.6666666666667</v>
      </c>
      <c r="G32" s="61"/>
    </row>
    <row r="33" spans="1:7" s="59" customFormat="1" x14ac:dyDescent="0.2">
      <c r="A33" s="52" t="s">
        <v>23</v>
      </c>
      <c r="B33" s="53" t="s">
        <v>94</v>
      </c>
      <c r="C33" s="63">
        <f>'Present YE1 '!C30/1000</f>
        <v>28.2</v>
      </c>
      <c r="F33" s="114">
        <v>76</v>
      </c>
      <c r="G33" s="42"/>
    </row>
    <row r="34" spans="1:7" s="59" customFormat="1" x14ac:dyDescent="0.2">
      <c r="A34" s="52" t="s">
        <v>21</v>
      </c>
      <c r="B34" s="53" t="s">
        <v>5</v>
      </c>
      <c r="C34" s="63">
        <f>C33/(C32/60)/4.18</f>
        <v>2.2192143037018384</v>
      </c>
      <c r="F34" s="114">
        <v>190</v>
      </c>
    </row>
    <row r="35" spans="1:7" s="59" customFormat="1" x14ac:dyDescent="0.2">
      <c r="A35" s="35"/>
      <c r="B35" s="41"/>
      <c r="C35" s="42"/>
      <c r="F35" s="114">
        <f>F34/(F32/60)/4.18</f>
        <v>2.1531100478468903</v>
      </c>
    </row>
  </sheetData>
  <mergeCells count="1">
    <mergeCell ref="D28:J29"/>
  </mergeCells>
  <phoneticPr fontId="7" type="noConversion"/>
  <pageMargins left="0.75" right="0.75" top="1" bottom="1" header="0.5" footer="0.5"/>
  <pageSetup orientation="portrait"/>
  <headerFooter alignWithMargins="0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34"/>
  <sheetViews>
    <sheetView showGridLines="0" zoomScale="120" zoomScaleNormal="120" workbookViewId="0">
      <selection activeCell="C25" sqref="C25"/>
    </sheetView>
  </sheetViews>
  <sheetFormatPr defaultColWidth="8.85546875" defaultRowHeight="12.75" x14ac:dyDescent="0.2"/>
  <cols>
    <col min="1" max="1" width="22.7109375" customWidth="1"/>
    <col min="2" max="2" width="7.7109375" customWidth="1"/>
    <col min="3" max="3" width="8.7109375" customWidth="1"/>
    <col min="4" max="12" width="7.7109375" customWidth="1"/>
    <col min="13" max="13" width="8.28515625" customWidth="1"/>
    <col min="14" max="14" width="5.7109375" customWidth="1"/>
    <col min="15" max="16" width="7.42578125" customWidth="1"/>
    <col min="17" max="17" width="8.42578125" customWidth="1"/>
    <col min="18" max="18" width="2.7109375" customWidth="1"/>
    <col min="19" max="20" width="7.7109375" customWidth="1"/>
    <col min="21" max="21" width="2.7109375" customWidth="1"/>
    <col min="22" max="22" width="8" customWidth="1"/>
    <col min="23" max="23" width="7.7109375" customWidth="1"/>
  </cols>
  <sheetData>
    <row r="1" spans="1:26" ht="18" x14ac:dyDescent="0.25">
      <c r="A1" s="20" t="s">
        <v>27</v>
      </c>
    </row>
    <row r="2" spans="1:26" x14ac:dyDescent="0.2">
      <c r="B2" s="136" t="s">
        <v>62</v>
      </c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S2" s="137" t="s">
        <v>63</v>
      </c>
      <c r="T2" s="137"/>
      <c r="U2" s="137"/>
      <c r="V2" s="137"/>
      <c r="W2" s="137"/>
    </row>
    <row r="3" spans="1:26" ht="76.5" x14ac:dyDescent="0.2">
      <c r="A3" s="11"/>
      <c r="B3" s="14" t="s">
        <v>3</v>
      </c>
      <c r="C3" s="47" t="s">
        <v>71</v>
      </c>
      <c r="D3" s="14" t="s">
        <v>45</v>
      </c>
      <c r="E3" s="14" t="s">
        <v>46</v>
      </c>
      <c r="F3" s="14" t="s">
        <v>30</v>
      </c>
      <c r="G3" s="14" t="s">
        <v>90</v>
      </c>
      <c r="H3" s="14" t="s">
        <v>47</v>
      </c>
      <c r="I3" s="14" t="s">
        <v>48</v>
      </c>
      <c r="J3" s="14" t="s">
        <v>120</v>
      </c>
      <c r="K3" s="14" t="s">
        <v>31</v>
      </c>
      <c r="L3" s="14" t="s">
        <v>123</v>
      </c>
      <c r="M3" s="15" t="s">
        <v>59</v>
      </c>
      <c r="N3" s="14" t="s">
        <v>13</v>
      </c>
      <c r="O3" s="14" t="s">
        <v>121</v>
      </c>
      <c r="P3" s="14" t="s">
        <v>122</v>
      </c>
      <c r="Q3" s="14" t="s">
        <v>51</v>
      </c>
      <c r="R3" s="7"/>
      <c r="S3" s="14" t="s">
        <v>28</v>
      </c>
      <c r="T3" s="51" t="s">
        <v>18</v>
      </c>
      <c r="U3" s="7"/>
      <c r="V3" s="14" t="s">
        <v>29</v>
      </c>
      <c r="W3" s="51" t="s">
        <v>18</v>
      </c>
    </row>
    <row r="4" spans="1:26" x14ac:dyDescent="0.2">
      <c r="A4" s="13" t="s">
        <v>1</v>
      </c>
      <c r="B4" s="4" t="s">
        <v>6</v>
      </c>
      <c r="C4" s="43">
        <v>60.32</v>
      </c>
      <c r="D4" s="5">
        <v>9.5</v>
      </c>
      <c r="E4" s="5">
        <v>9.5</v>
      </c>
      <c r="F4" s="5">
        <v>9.5</v>
      </c>
      <c r="G4" s="5">
        <v>8</v>
      </c>
      <c r="H4" s="5">
        <v>8</v>
      </c>
      <c r="I4" s="5">
        <v>8</v>
      </c>
      <c r="J4" s="5">
        <v>8</v>
      </c>
      <c r="K4" s="5">
        <v>8</v>
      </c>
      <c r="L4" s="5">
        <v>8</v>
      </c>
      <c r="M4" s="5">
        <v>12.7</v>
      </c>
      <c r="N4" s="5">
        <v>12.7</v>
      </c>
      <c r="O4" s="5">
        <v>10</v>
      </c>
      <c r="P4" s="5">
        <v>10</v>
      </c>
      <c r="Q4" s="5">
        <v>10</v>
      </c>
      <c r="R4" s="8"/>
      <c r="S4" s="5">
        <v>48.26</v>
      </c>
      <c r="T4" s="5">
        <v>33.700000000000003</v>
      </c>
      <c r="U4" s="8"/>
      <c r="V4" s="5">
        <v>48.26</v>
      </c>
      <c r="W4" s="5">
        <v>33.700000000000003</v>
      </c>
    </row>
    <row r="5" spans="1:26" x14ac:dyDescent="0.2">
      <c r="A5" s="13" t="s">
        <v>2</v>
      </c>
      <c r="B5" s="4" t="s">
        <v>6</v>
      </c>
      <c r="C5" s="43">
        <v>1.65</v>
      </c>
      <c r="D5" s="5">
        <v>0.76</v>
      </c>
      <c r="E5" s="5">
        <v>0.76</v>
      </c>
      <c r="F5" s="5">
        <v>0.76</v>
      </c>
      <c r="G5" s="5">
        <v>1</v>
      </c>
      <c r="H5" s="5">
        <v>1</v>
      </c>
      <c r="I5" s="5">
        <v>1</v>
      </c>
      <c r="J5" s="5">
        <v>1</v>
      </c>
      <c r="K5" s="5">
        <v>1</v>
      </c>
      <c r="L5" s="5">
        <v>1</v>
      </c>
      <c r="M5" s="5">
        <v>1.24</v>
      </c>
      <c r="N5" s="5">
        <v>1.24</v>
      </c>
      <c r="O5" s="5">
        <v>1</v>
      </c>
      <c r="P5" s="5">
        <v>1</v>
      </c>
      <c r="Q5" s="5">
        <v>1</v>
      </c>
      <c r="R5" s="8"/>
      <c r="S5" s="5">
        <v>1.65</v>
      </c>
      <c r="T5" s="5">
        <v>3.2</v>
      </c>
      <c r="U5" s="8"/>
      <c r="V5" s="5">
        <v>1.65</v>
      </c>
      <c r="W5" s="5">
        <v>3.2</v>
      </c>
    </row>
    <row r="6" spans="1:26" x14ac:dyDescent="0.2">
      <c r="A6" s="13" t="s">
        <v>25</v>
      </c>
      <c r="B6" s="4" t="s">
        <v>6</v>
      </c>
      <c r="C6" s="43">
        <f t="shared" ref="C6:Q6" si="0">C4-(2*C5)</f>
        <v>57.02</v>
      </c>
      <c r="D6" s="5">
        <f t="shared" si="0"/>
        <v>7.98</v>
      </c>
      <c r="E6" s="5">
        <f t="shared" si="0"/>
        <v>7.98</v>
      </c>
      <c r="F6" s="5">
        <f t="shared" si="0"/>
        <v>7.98</v>
      </c>
      <c r="G6" s="5">
        <v>6</v>
      </c>
      <c r="H6" s="5">
        <f t="shared" si="0"/>
        <v>6</v>
      </c>
      <c r="I6" s="5">
        <f t="shared" si="0"/>
        <v>6</v>
      </c>
      <c r="J6" s="5">
        <f t="shared" si="0"/>
        <v>6</v>
      </c>
      <c r="K6" s="5">
        <f t="shared" si="0"/>
        <v>6</v>
      </c>
      <c r="L6" s="5">
        <f t="shared" ref="L6" si="1">L4-(2*L5)</f>
        <v>6</v>
      </c>
      <c r="M6" s="5">
        <f t="shared" si="0"/>
        <v>10.219999999999999</v>
      </c>
      <c r="N6" s="5">
        <f t="shared" si="0"/>
        <v>10.219999999999999</v>
      </c>
      <c r="O6" s="5">
        <f t="shared" si="0"/>
        <v>8</v>
      </c>
      <c r="P6" s="5">
        <f t="shared" si="0"/>
        <v>8</v>
      </c>
      <c r="Q6" s="5">
        <f t="shared" si="0"/>
        <v>8</v>
      </c>
      <c r="R6" s="8"/>
      <c r="S6" s="5">
        <f>S4-(2*S5)</f>
        <v>44.96</v>
      </c>
      <c r="T6" s="5">
        <f>T4-(2*T5)</f>
        <v>27.300000000000004</v>
      </c>
      <c r="U6" s="8"/>
      <c r="V6" s="5">
        <f>V4-(2*V5)</f>
        <v>44.96</v>
      </c>
      <c r="W6" s="5">
        <f>W4-(2*W5)</f>
        <v>27.300000000000004</v>
      </c>
    </row>
    <row r="7" spans="1:26" ht="14.25" x14ac:dyDescent="0.2">
      <c r="A7" s="13" t="s">
        <v>26</v>
      </c>
      <c r="B7" s="4" t="s">
        <v>11</v>
      </c>
      <c r="C7" s="44">
        <f t="shared" ref="C7:Q7" si="2">0.25*3.14*(C6^2)</f>
        <v>2552.2551140000005</v>
      </c>
      <c r="D7" s="6">
        <f t="shared" si="2"/>
        <v>49.989114000000008</v>
      </c>
      <c r="E7" s="6">
        <f t="shared" si="2"/>
        <v>49.989114000000008</v>
      </c>
      <c r="F7" s="6">
        <f t="shared" si="2"/>
        <v>49.989114000000008</v>
      </c>
      <c r="G7" s="6">
        <f>0.25*3.14*(G6^2)</f>
        <v>28.26</v>
      </c>
      <c r="H7" s="6">
        <f t="shared" si="2"/>
        <v>28.26</v>
      </c>
      <c r="I7" s="6">
        <f t="shared" si="2"/>
        <v>28.26</v>
      </c>
      <c r="J7" s="6">
        <f t="shared" si="2"/>
        <v>28.26</v>
      </c>
      <c r="K7" s="6">
        <f t="shared" si="2"/>
        <v>28.26</v>
      </c>
      <c r="L7" s="6">
        <f t="shared" ref="L7" si="3">0.25*3.14*(L6^2)</f>
        <v>28.26</v>
      </c>
      <c r="M7" s="6">
        <f t="shared" si="2"/>
        <v>81.991993999999991</v>
      </c>
      <c r="N7" s="6">
        <f t="shared" si="2"/>
        <v>81.991993999999991</v>
      </c>
      <c r="O7" s="6">
        <f t="shared" si="2"/>
        <v>50.24</v>
      </c>
      <c r="P7" s="6">
        <f t="shared" si="2"/>
        <v>50.24</v>
      </c>
      <c r="Q7" s="6">
        <f t="shared" si="2"/>
        <v>50.24</v>
      </c>
      <c r="R7" s="9"/>
      <c r="S7" s="6">
        <f>0.25*3.14*(S6^2)</f>
        <v>1586.8002560000002</v>
      </c>
      <c r="T7" s="6">
        <f>0.25*3.14*(T6^2)</f>
        <v>585.0526500000002</v>
      </c>
      <c r="U7" s="9"/>
      <c r="V7" s="6">
        <f>0.25*3.14*(V6^2)</f>
        <v>1586.8002560000002</v>
      </c>
      <c r="W7" s="6">
        <f>0.25*3.14*(W6^2)</f>
        <v>585.0526500000002</v>
      </c>
    </row>
    <row r="8" spans="1:26" s="40" customFormat="1" x14ac:dyDescent="0.2">
      <c r="A8" s="13" t="s">
        <v>4</v>
      </c>
      <c r="B8" s="4" t="s">
        <v>7</v>
      </c>
      <c r="C8" s="44">
        <f>SUMPRODUCT(D8:Q8,D16:Q16)</f>
        <v>370.4</v>
      </c>
      <c r="D8" s="32">
        <v>2.2999999999999998</v>
      </c>
      <c r="E8" s="32">
        <v>2.2999999999999998</v>
      </c>
      <c r="F8" s="32">
        <v>4</v>
      </c>
      <c r="G8" s="31">
        <v>2</v>
      </c>
      <c r="H8" s="132">
        <v>2</v>
      </c>
      <c r="I8" s="132">
        <v>2</v>
      </c>
      <c r="J8" s="132">
        <v>2</v>
      </c>
      <c r="K8" s="132">
        <v>2</v>
      </c>
      <c r="L8" s="29">
        <v>2</v>
      </c>
      <c r="M8" s="32">
        <v>5</v>
      </c>
      <c r="N8" s="32">
        <v>2</v>
      </c>
      <c r="O8" s="132">
        <v>4</v>
      </c>
      <c r="P8" s="132">
        <v>2</v>
      </c>
      <c r="Q8" s="32">
        <v>4</v>
      </c>
      <c r="R8" s="72"/>
      <c r="S8" s="32">
        <f>T8*T16</f>
        <v>91.2</v>
      </c>
      <c r="T8" s="32">
        <v>11.4</v>
      </c>
      <c r="U8" s="72"/>
      <c r="V8" s="32">
        <f>W8*W16</f>
        <v>91.2</v>
      </c>
      <c r="W8" s="32">
        <v>11.4</v>
      </c>
      <c r="X8" s="33"/>
      <c r="Y8" s="33"/>
      <c r="Z8" s="33"/>
    </row>
    <row r="9" spans="1:26" x14ac:dyDescent="0.2">
      <c r="A9" s="13" t="s">
        <v>38</v>
      </c>
      <c r="B9" s="4" t="s">
        <v>14</v>
      </c>
      <c r="C9" s="44">
        <f t="shared" ref="C9:Q9" si="4">(C8*1000/60)/C7</f>
        <v>2.418775967759049</v>
      </c>
      <c r="D9" s="31">
        <f t="shared" si="4"/>
        <v>0.76683362168277935</v>
      </c>
      <c r="E9" s="31">
        <f t="shared" si="4"/>
        <v>0.76683362168277935</v>
      </c>
      <c r="F9" s="31">
        <f t="shared" si="4"/>
        <v>1.3336236898830947</v>
      </c>
      <c r="G9" s="31">
        <f>(G8*1000/60)/G7</f>
        <v>1.1795234725171031</v>
      </c>
      <c r="H9" s="31">
        <f t="shared" si="4"/>
        <v>1.1795234725171031</v>
      </c>
      <c r="I9" s="31">
        <f t="shared" si="4"/>
        <v>1.1795234725171031</v>
      </c>
      <c r="J9" s="31">
        <f t="shared" si="4"/>
        <v>1.1795234725171031</v>
      </c>
      <c r="K9" s="31">
        <f t="shared" si="4"/>
        <v>1.1795234725171031</v>
      </c>
      <c r="L9" s="31">
        <f t="shared" ref="L9" si="5">(L8*1000/60)/L7</f>
        <v>1.1795234725171031</v>
      </c>
      <c r="M9" s="31">
        <f t="shared" si="4"/>
        <v>1.0163593939834337</v>
      </c>
      <c r="N9" s="31">
        <f t="shared" si="4"/>
        <v>0.40654375759337358</v>
      </c>
      <c r="O9" s="31">
        <f t="shared" si="4"/>
        <v>1.3269639065817411</v>
      </c>
      <c r="P9" s="31">
        <f t="shared" si="4"/>
        <v>0.66348195329087056</v>
      </c>
      <c r="Q9" s="31">
        <f t="shared" si="4"/>
        <v>1.3269639065817411</v>
      </c>
      <c r="R9" s="70"/>
      <c r="S9" s="31">
        <f>(S8*1000/60)/S7</f>
        <v>0.95790254271297504</v>
      </c>
      <c r="T9" s="31">
        <f>(T8*1000/60)/T7</f>
        <v>0.32475709664762636</v>
      </c>
      <c r="U9" s="70"/>
      <c r="V9" s="31">
        <f>(V8*1000/60)/V7</f>
        <v>0.95790254271297504</v>
      </c>
      <c r="W9" s="31">
        <f>(W8*1000/60)/W7</f>
        <v>0.32475709664762636</v>
      </c>
      <c r="X9" s="33"/>
      <c r="Y9" s="33"/>
      <c r="Z9" s="33"/>
    </row>
    <row r="10" spans="1:26" x14ac:dyDescent="0.2">
      <c r="A10" s="13" t="s">
        <v>42</v>
      </c>
      <c r="B10" s="4" t="s">
        <v>43</v>
      </c>
      <c r="C10" s="44">
        <f t="shared" ref="C10:Q10" si="6">(C9*(C6/1000))/(1.035*10^-6)</f>
        <v>133254.69147982704</v>
      </c>
      <c r="D10" s="30">
        <f t="shared" si="6"/>
        <v>5912.3983584817206</v>
      </c>
      <c r="E10" s="30">
        <f t="shared" si="6"/>
        <v>5912.3983584817206</v>
      </c>
      <c r="F10" s="30">
        <f t="shared" si="6"/>
        <v>10282.4319277943</v>
      </c>
      <c r="G10" s="30">
        <f t="shared" si="6"/>
        <v>6837.8172319832074</v>
      </c>
      <c r="H10" s="30">
        <f t="shared" si="6"/>
        <v>6837.8172319832074</v>
      </c>
      <c r="I10" s="30">
        <f t="shared" si="6"/>
        <v>6837.8172319832074</v>
      </c>
      <c r="J10" s="30">
        <f>(J9*(J6/1000))/(1.035*10^-6)</f>
        <v>6837.8172319832074</v>
      </c>
      <c r="K10" s="30">
        <f t="shared" si="6"/>
        <v>6837.8172319832074</v>
      </c>
      <c r="L10" s="30">
        <f t="shared" ref="L10" si="7">(L9*(L6/1000))/(1.035*10^-6)</f>
        <v>6837.8172319832074</v>
      </c>
      <c r="M10" s="30">
        <f t="shared" si="6"/>
        <v>10035.935271991008</v>
      </c>
      <c r="N10" s="30">
        <f t="shared" si="6"/>
        <v>4014.374108796404</v>
      </c>
      <c r="O10" s="30">
        <f t="shared" si="6"/>
        <v>10256.725847974812</v>
      </c>
      <c r="P10" s="30">
        <f t="shared" si="6"/>
        <v>5128.3629239874062</v>
      </c>
      <c r="Q10" s="30">
        <f t="shared" si="6"/>
        <v>10256.725847974812</v>
      </c>
      <c r="R10" s="70"/>
      <c r="S10" s="30">
        <f>(S9*(S6/1000))/(1.035*10^-6)</f>
        <v>41610.916251570401</v>
      </c>
      <c r="T10" s="30">
        <f>(T9*(T6/1000))/(1.035*10^-6)</f>
        <v>8566.0567521547855</v>
      </c>
      <c r="U10" s="70"/>
      <c r="V10" s="30">
        <f>(V9*(V6/1000))/(1.035*10^-6)</f>
        <v>41610.916251570401</v>
      </c>
      <c r="W10" s="30">
        <f>(W9*(W6/1000))/(1.035*10^-6)</f>
        <v>8566.0567521547855</v>
      </c>
      <c r="X10" s="33"/>
      <c r="Y10" s="33"/>
      <c r="Z10" s="33"/>
    </row>
    <row r="11" spans="1:26" s="40" customFormat="1" x14ac:dyDescent="0.2">
      <c r="A11" s="13" t="s">
        <v>69</v>
      </c>
      <c r="B11" s="4" t="s">
        <v>8</v>
      </c>
      <c r="C11" s="44"/>
      <c r="D11" s="30">
        <v>86</v>
      </c>
      <c r="E11" s="30">
        <v>105</v>
      </c>
      <c r="F11" s="30">
        <v>270</v>
      </c>
      <c r="G11" s="31">
        <v>45</v>
      </c>
      <c r="H11" s="30">
        <v>10</v>
      </c>
      <c r="I11" s="30">
        <v>10</v>
      </c>
      <c r="J11" s="30">
        <v>12</v>
      </c>
      <c r="K11" s="30">
        <v>10</v>
      </c>
      <c r="L11" s="38">
        <v>300</v>
      </c>
      <c r="M11" s="30"/>
      <c r="N11" s="30"/>
      <c r="O11" s="30"/>
      <c r="P11" s="30"/>
      <c r="Q11" s="30"/>
      <c r="R11" s="70"/>
      <c r="S11" s="30"/>
      <c r="T11" s="30"/>
      <c r="U11" s="70"/>
      <c r="V11" s="30"/>
      <c r="W11" s="30"/>
      <c r="X11" s="33"/>
      <c r="Y11" s="33"/>
      <c r="Z11" s="33"/>
    </row>
    <row r="12" spans="1:26" s="40" customFormat="1" x14ac:dyDescent="0.2">
      <c r="A12" s="13" t="s">
        <v>70</v>
      </c>
      <c r="B12" s="4" t="s">
        <v>80</v>
      </c>
      <c r="C12" s="44"/>
      <c r="D12" s="30">
        <v>4</v>
      </c>
      <c r="E12" s="30">
        <v>4</v>
      </c>
      <c r="F12" s="30">
        <v>2</v>
      </c>
      <c r="G12" s="31">
        <v>4</v>
      </c>
      <c r="H12" s="30">
        <v>6</v>
      </c>
      <c r="I12" s="30">
        <v>6</v>
      </c>
      <c r="J12" s="30">
        <v>4</v>
      </c>
      <c r="K12" s="30">
        <v>4</v>
      </c>
      <c r="L12" s="40">
        <v>1</v>
      </c>
      <c r="M12" s="30"/>
      <c r="N12" s="30"/>
      <c r="O12" s="30"/>
      <c r="P12" s="30"/>
      <c r="Q12" s="30"/>
      <c r="R12" s="70"/>
      <c r="S12" s="30"/>
      <c r="T12" s="30"/>
      <c r="U12" s="70"/>
      <c r="V12" s="30"/>
      <c r="W12" s="30"/>
      <c r="X12" s="33"/>
      <c r="Y12" s="33"/>
      <c r="Z12" s="33"/>
    </row>
    <row r="13" spans="1:26" x14ac:dyDescent="0.2">
      <c r="A13" s="13" t="s">
        <v>17</v>
      </c>
      <c r="B13" s="4" t="s">
        <v>8</v>
      </c>
      <c r="C13" s="44">
        <f>C18</f>
        <v>36498</v>
      </c>
      <c r="D13" s="30">
        <f>D12*D11</f>
        <v>344</v>
      </c>
      <c r="E13" s="30">
        <f t="shared" ref="E13:F13" si="8">E12*E11</f>
        <v>420</v>
      </c>
      <c r="F13" s="30">
        <f t="shared" si="8"/>
        <v>540</v>
      </c>
      <c r="G13" s="31">
        <f t="shared" ref="G13:L13" si="9">G12*G11</f>
        <v>180</v>
      </c>
      <c r="H13" s="30">
        <f t="shared" si="9"/>
        <v>60</v>
      </c>
      <c r="I13" s="30">
        <f t="shared" si="9"/>
        <v>60</v>
      </c>
      <c r="J13" s="30">
        <f t="shared" si="9"/>
        <v>48</v>
      </c>
      <c r="K13" s="30">
        <f t="shared" si="9"/>
        <v>40</v>
      </c>
      <c r="L13" s="38">
        <f t="shared" si="9"/>
        <v>300</v>
      </c>
      <c r="M13" s="30">
        <v>852</v>
      </c>
      <c r="N13" s="30">
        <v>400</v>
      </c>
      <c r="O13" s="30">
        <v>247</v>
      </c>
      <c r="P13" s="30">
        <v>147</v>
      </c>
      <c r="Q13" s="30">
        <v>390</v>
      </c>
      <c r="R13" s="70"/>
      <c r="S13" s="30"/>
      <c r="T13" s="30">
        <v>1775</v>
      </c>
      <c r="U13" s="70"/>
      <c r="V13" s="30">
        <f>V18</f>
        <v>14000</v>
      </c>
      <c r="W13" s="30">
        <v>1750</v>
      </c>
      <c r="X13" s="33"/>
      <c r="Y13" s="33"/>
      <c r="Z13" s="33"/>
    </row>
    <row r="14" spans="1:26" x14ac:dyDescent="0.2">
      <c r="A14" s="13" t="s">
        <v>20</v>
      </c>
      <c r="B14" s="4" t="s">
        <v>5</v>
      </c>
      <c r="C14" s="44">
        <f>C13/(C8/60)/4180</f>
        <v>1.4144026372627032</v>
      </c>
      <c r="D14" s="31">
        <f t="shared" ref="D14:Q14" si="10">D13/(D8/60)/4180</f>
        <v>2.146869149157479</v>
      </c>
      <c r="E14" s="31">
        <f t="shared" si="10"/>
        <v>2.6211774495527358</v>
      </c>
      <c r="F14" s="31">
        <f t="shared" si="10"/>
        <v>1.937799043062201</v>
      </c>
      <c r="G14" s="31">
        <f>G13/(G8/60)/4180</f>
        <v>1.2918660287081341</v>
      </c>
      <c r="H14" s="131">
        <f t="shared" si="10"/>
        <v>0.43062200956937802</v>
      </c>
      <c r="I14" s="131">
        <f t="shared" si="10"/>
        <v>0.43062200956937802</v>
      </c>
      <c r="J14" s="131">
        <f t="shared" si="10"/>
        <v>0.34449760765550241</v>
      </c>
      <c r="K14" s="131">
        <f t="shared" si="10"/>
        <v>0.28708133971291866</v>
      </c>
      <c r="L14" s="74">
        <f>L13/(L8/60)/4180</f>
        <v>2.1531100478468899</v>
      </c>
      <c r="M14" s="31">
        <f t="shared" si="10"/>
        <v>2.445933014354067</v>
      </c>
      <c r="N14" s="31">
        <f t="shared" si="10"/>
        <v>2.8708133971291865</v>
      </c>
      <c r="O14" s="131">
        <f t="shared" si="10"/>
        <v>0.88636363636363635</v>
      </c>
      <c r="P14" s="131">
        <f t="shared" si="10"/>
        <v>1.0550239234449761</v>
      </c>
      <c r="Q14" s="31">
        <f t="shared" si="10"/>
        <v>1.3995215311004785</v>
      </c>
      <c r="R14" s="70"/>
      <c r="S14" s="31">
        <f>S13/(S8/60)/4180</f>
        <v>0</v>
      </c>
      <c r="T14" s="31">
        <f>T13/(T8/60)/4180</f>
        <v>2.2349534122387307</v>
      </c>
      <c r="U14" s="70"/>
      <c r="V14" s="31">
        <f>V13/(V8/60)/4180</f>
        <v>2.2034751951649456</v>
      </c>
      <c r="W14" s="31">
        <f>W13/(W8/60)/4180</f>
        <v>2.2034751951649456</v>
      </c>
      <c r="X14" s="33"/>
      <c r="Y14" s="33"/>
      <c r="Z14" s="33"/>
    </row>
    <row r="15" spans="1:26" x14ac:dyDescent="0.2">
      <c r="A15" s="13"/>
      <c r="B15" s="4"/>
      <c r="C15" s="44"/>
      <c r="D15" s="32"/>
      <c r="E15" s="32"/>
      <c r="F15" s="32"/>
      <c r="G15" s="32"/>
      <c r="H15" s="32"/>
      <c r="I15" s="32"/>
      <c r="J15" s="32"/>
      <c r="K15" s="32"/>
      <c r="L15" s="123"/>
      <c r="M15" s="123"/>
      <c r="N15" s="32"/>
      <c r="O15" s="32"/>
      <c r="P15" s="32"/>
      <c r="Q15" s="32"/>
      <c r="R15" s="72"/>
      <c r="S15" s="32"/>
      <c r="T15" s="32"/>
      <c r="U15" s="72"/>
      <c r="V15" s="32"/>
      <c r="W15" s="32"/>
      <c r="X15" s="33"/>
      <c r="Y15" s="33"/>
      <c r="Z15" s="33"/>
    </row>
    <row r="16" spans="1:26" s="40" customFormat="1" x14ac:dyDescent="0.2">
      <c r="A16" s="13" t="s">
        <v>9</v>
      </c>
      <c r="B16" s="4" t="s">
        <v>10</v>
      </c>
      <c r="C16" s="44">
        <v>1</v>
      </c>
      <c r="D16" s="30">
        <v>9</v>
      </c>
      <c r="E16" s="30">
        <v>9</v>
      </c>
      <c r="F16" s="30">
        <v>18</v>
      </c>
      <c r="G16" s="31">
        <v>2.5</v>
      </c>
      <c r="H16" s="30">
        <v>6</v>
      </c>
      <c r="I16" s="30">
        <v>6</v>
      </c>
      <c r="J16" s="30">
        <v>1</v>
      </c>
      <c r="K16" s="30">
        <v>18</v>
      </c>
      <c r="L16" s="30">
        <v>18</v>
      </c>
      <c r="M16" s="30">
        <v>6</v>
      </c>
      <c r="N16" s="30">
        <v>12</v>
      </c>
      <c r="O16" s="30">
        <v>6</v>
      </c>
      <c r="P16" s="30">
        <v>30</v>
      </c>
      <c r="Q16" s="30">
        <v>4</v>
      </c>
      <c r="R16" s="70"/>
      <c r="S16" s="30">
        <v>1</v>
      </c>
      <c r="T16" s="30">
        <v>8</v>
      </c>
      <c r="U16" s="70"/>
      <c r="V16" s="30">
        <v>1</v>
      </c>
      <c r="W16" s="30">
        <v>8</v>
      </c>
      <c r="X16" s="33"/>
      <c r="Y16" s="33"/>
      <c r="Z16" s="33"/>
    </row>
    <row r="17" spans="1:26" x14ac:dyDescent="0.2">
      <c r="A17" s="13" t="s">
        <v>19</v>
      </c>
      <c r="B17" s="4" t="s">
        <v>56</v>
      </c>
      <c r="C17" s="44">
        <f>SUM(D17:Q17)</f>
        <v>369.4</v>
      </c>
      <c r="D17" s="32">
        <f>D16*D8</f>
        <v>20.7</v>
      </c>
      <c r="E17" s="32">
        <f t="shared" ref="E17:W17" si="11">E16*E8</f>
        <v>20.7</v>
      </c>
      <c r="F17" s="32">
        <f t="shared" si="11"/>
        <v>72</v>
      </c>
      <c r="G17" s="32">
        <v>6</v>
      </c>
      <c r="H17" s="32">
        <f t="shared" si="11"/>
        <v>12</v>
      </c>
      <c r="I17" s="32">
        <f t="shared" si="11"/>
        <v>12</v>
      </c>
      <c r="J17" s="129" t="s">
        <v>136</v>
      </c>
      <c r="K17" s="32">
        <f>K16*K8</f>
        <v>36</v>
      </c>
      <c r="L17" s="81">
        <f>L16*L8</f>
        <v>36</v>
      </c>
      <c r="M17" s="81">
        <f t="shared" si="11"/>
        <v>30</v>
      </c>
      <c r="N17" s="129">
        <f t="shared" si="11"/>
        <v>24</v>
      </c>
      <c r="O17" s="32">
        <f t="shared" si="11"/>
        <v>24</v>
      </c>
      <c r="P17" s="32">
        <f t="shared" si="11"/>
        <v>60</v>
      </c>
      <c r="Q17" s="32">
        <f t="shared" si="11"/>
        <v>16</v>
      </c>
      <c r="R17" s="72"/>
      <c r="S17" s="32">
        <f t="shared" si="11"/>
        <v>91.2</v>
      </c>
      <c r="T17" s="32">
        <f t="shared" si="11"/>
        <v>91.2</v>
      </c>
      <c r="U17" s="72"/>
      <c r="V17" s="32">
        <f t="shared" si="11"/>
        <v>91.2</v>
      </c>
      <c r="W17" s="32">
        <f t="shared" si="11"/>
        <v>91.2</v>
      </c>
      <c r="X17" s="33"/>
      <c r="Y17" s="33"/>
      <c r="Z17" s="33"/>
    </row>
    <row r="18" spans="1:26" x14ac:dyDescent="0.2">
      <c r="A18" s="13" t="s">
        <v>22</v>
      </c>
      <c r="B18" s="4" t="s">
        <v>8</v>
      </c>
      <c r="C18" s="44">
        <f>SUM(D18:Q18)</f>
        <v>36498</v>
      </c>
      <c r="D18" s="6">
        <f t="shared" ref="D18:M18" si="12">D16*D13</f>
        <v>3096</v>
      </c>
      <c r="E18" s="6">
        <f t="shared" si="12"/>
        <v>3780</v>
      </c>
      <c r="F18" s="30">
        <f t="shared" si="12"/>
        <v>9720</v>
      </c>
      <c r="G18" s="30">
        <f>G16*G13</f>
        <v>450</v>
      </c>
      <c r="H18" s="6">
        <f>H16*H13</f>
        <v>360</v>
      </c>
      <c r="I18" s="6">
        <f>I16*I13</f>
        <v>360</v>
      </c>
      <c r="J18" s="6">
        <f t="shared" si="12"/>
        <v>48</v>
      </c>
      <c r="K18" s="6">
        <f>K16*K13</f>
        <v>720</v>
      </c>
      <c r="L18" s="6">
        <f>L16*L13</f>
        <v>5400</v>
      </c>
      <c r="M18" s="6">
        <f t="shared" si="12"/>
        <v>5112</v>
      </c>
      <c r="N18" s="6"/>
      <c r="O18" s="6">
        <f>O16*O13</f>
        <v>1482</v>
      </c>
      <c r="P18" s="6">
        <f>P16*P13</f>
        <v>4410</v>
      </c>
      <c r="Q18" s="6">
        <f>Q16*Q13</f>
        <v>1560</v>
      </c>
      <c r="R18" s="9"/>
      <c r="S18" s="6">
        <f>T18</f>
        <v>14200</v>
      </c>
      <c r="T18" s="6">
        <f>T16*T13</f>
        <v>14200</v>
      </c>
      <c r="U18" s="9"/>
      <c r="V18" s="6">
        <f>W18</f>
        <v>14000</v>
      </c>
      <c r="W18" s="6">
        <f>W16*W13</f>
        <v>14000</v>
      </c>
    </row>
    <row r="19" spans="1:26" x14ac:dyDescent="0.2">
      <c r="A19" s="13" t="s">
        <v>24</v>
      </c>
      <c r="B19" s="4" t="s">
        <v>8</v>
      </c>
      <c r="C19" s="45"/>
      <c r="D19" s="4"/>
      <c r="E19" s="4"/>
      <c r="F19" s="4"/>
      <c r="G19" s="4"/>
      <c r="H19" s="4"/>
      <c r="I19" s="4"/>
      <c r="J19" s="4"/>
      <c r="K19" s="4"/>
      <c r="L19" s="4"/>
      <c r="M19" s="3"/>
      <c r="N19" s="3">
        <f>N16*N13</f>
        <v>4800</v>
      </c>
      <c r="O19" s="3"/>
      <c r="P19" s="3"/>
      <c r="Q19" s="3"/>
      <c r="R19" s="12"/>
      <c r="S19" s="4"/>
      <c r="T19" s="4"/>
      <c r="U19" s="12"/>
      <c r="V19" s="4"/>
      <c r="W19" s="4"/>
    </row>
    <row r="20" spans="1:26" x14ac:dyDescent="0.2">
      <c r="A20" s="13"/>
      <c r="B20" s="4"/>
      <c r="C20" s="45"/>
      <c r="D20" s="4"/>
      <c r="E20" s="4"/>
      <c r="F20" s="4"/>
      <c r="G20" s="4"/>
      <c r="H20" s="4"/>
      <c r="I20" s="4"/>
      <c r="J20" s="4"/>
      <c r="K20" s="4"/>
      <c r="L20" s="4"/>
      <c r="M20" s="3"/>
      <c r="N20" s="3"/>
      <c r="O20" s="3"/>
      <c r="P20" s="3"/>
      <c r="Q20" s="3"/>
      <c r="R20" s="12"/>
      <c r="S20" s="4"/>
      <c r="T20" s="4"/>
      <c r="U20" s="12"/>
      <c r="V20" s="4"/>
      <c r="W20" s="4"/>
    </row>
    <row r="21" spans="1:26" x14ac:dyDescent="0.2">
      <c r="A21" s="13" t="s">
        <v>15</v>
      </c>
      <c r="B21" s="4" t="s">
        <v>0</v>
      </c>
      <c r="C21" s="45"/>
      <c r="D21" s="4"/>
      <c r="E21" s="4"/>
      <c r="F21" s="4"/>
      <c r="G21" s="4"/>
      <c r="H21" s="4"/>
      <c r="I21" s="4"/>
      <c r="J21" s="4" t="s">
        <v>35</v>
      </c>
      <c r="K21" s="4"/>
      <c r="L21" s="4"/>
      <c r="M21" s="4" t="s">
        <v>44</v>
      </c>
      <c r="N21" s="4"/>
      <c r="O21" s="4"/>
      <c r="P21" s="4"/>
      <c r="Q21" s="4"/>
      <c r="R21" s="10"/>
      <c r="S21" s="4"/>
      <c r="T21" s="4"/>
      <c r="U21" s="10"/>
      <c r="V21" s="4"/>
      <c r="W21" s="4"/>
    </row>
    <row r="22" spans="1:26" x14ac:dyDescent="0.2">
      <c r="A22" s="12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2"/>
      <c r="N22" s="12"/>
      <c r="O22" s="12"/>
      <c r="P22" s="12"/>
      <c r="Q22" s="12"/>
      <c r="R22" s="12"/>
      <c r="S22" s="10"/>
      <c r="T22" s="10"/>
      <c r="U22" s="12"/>
      <c r="V22" s="10"/>
      <c r="W22" s="10"/>
    </row>
    <row r="23" spans="1:26" x14ac:dyDescent="0.2">
      <c r="A23" s="35" t="s">
        <v>72</v>
      </c>
      <c r="B23" s="33"/>
      <c r="C23" s="33"/>
    </row>
    <row r="24" spans="1:26" x14ac:dyDescent="0.2">
      <c r="A24" s="16" t="s">
        <v>49</v>
      </c>
      <c r="B24" s="17" t="s">
        <v>7</v>
      </c>
      <c r="C24" s="18">
        <f>C8</f>
        <v>370.4</v>
      </c>
      <c r="D24" s="2"/>
      <c r="E24" s="2"/>
      <c r="F24" s="2"/>
      <c r="G24" s="2"/>
      <c r="H24" s="2"/>
      <c r="I24" s="2"/>
      <c r="J24" s="2"/>
      <c r="K24" s="2"/>
      <c r="L24" s="2"/>
      <c r="S24" s="2"/>
      <c r="T24" s="2"/>
      <c r="V24" s="2"/>
      <c r="W24" s="2"/>
    </row>
    <row r="25" spans="1:26" x14ac:dyDescent="0.2">
      <c r="A25" s="16" t="s">
        <v>23</v>
      </c>
      <c r="B25" s="17" t="s">
        <v>94</v>
      </c>
      <c r="C25" s="18">
        <f>C18/1000</f>
        <v>36.497999999999998</v>
      </c>
      <c r="D25" s="2"/>
      <c r="E25" s="2"/>
      <c r="F25" s="2"/>
      <c r="G25" s="2"/>
      <c r="H25" s="2"/>
      <c r="I25" s="2"/>
      <c r="J25" s="2"/>
      <c r="K25" s="2"/>
      <c r="L25" s="2"/>
      <c r="S25" s="2"/>
      <c r="T25" s="2"/>
      <c r="V25" s="2"/>
      <c r="W25" s="2"/>
    </row>
    <row r="26" spans="1:26" x14ac:dyDescent="0.2">
      <c r="A26" s="16" t="s">
        <v>21</v>
      </c>
      <c r="B26" s="17" t="s">
        <v>5</v>
      </c>
      <c r="C26" s="19">
        <f>C25/(C24/60)/4.18</f>
        <v>1.4144026372627032</v>
      </c>
      <c r="D26" s="2"/>
      <c r="E26" s="2"/>
      <c r="F26" s="2"/>
      <c r="G26" s="2"/>
      <c r="H26" s="2"/>
      <c r="I26" s="2"/>
      <c r="J26" s="2"/>
      <c r="K26" s="2"/>
      <c r="L26" s="2"/>
      <c r="S26" s="2"/>
      <c r="T26" s="2"/>
      <c r="V26" s="2"/>
      <c r="W26" s="2"/>
    </row>
    <row r="27" spans="1:26" ht="18" x14ac:dyDescent="0.25">
      <c r="A27" s="20"/>
      <c r="T27" s="2"/>
      <c r="V27" s="2"/>
      <c r="W27" s="2"/>
    </row>
    <row r="28" spans="1:26" x14ac:dyDescent="0.2">
      <c r="A28" s="35" t="s">
        <v>73</v>
      </c>
      <c r="B28" s="33"/>
      <c r="C28" s="33"/>
    </row>
    <row r="29" spans="1:26" x14ac:dyDescent="0.2">
      <c r="A29" s="52" t="s">
        <v>50</v>
      </c>
      <c r="B29" s="53" t="s">
        <v>7</v>
      </c>
      <c r="C29" s="54">
        <f>S8+V8</f>
        <v>182.4</v>
      </c>
      <c r="D29" t="s">
        <v>57</v>
      </c>
      <c r="U29" s="2"/>
      <c r="V29" s="2"/>
    </row>
    <row r="30" spans="1:26" x14ac:dyDescent="0.2">
      <c r="A30" s="52" t="s">
        <v>23</v>
      </c>
      <c r="B30" s="53" t="s">
        <v>8</v>
      </c>
      <c r="C30" s="54">
        <f>S18+V18</f>
        <v>28200</v>
      </c>
      <c r="D30" t="s">
        <v>58</v>
      </c>
    </row>
    <row r="31" spans="1:26" x14ac:dyDescent="0.2">
      <c r="A31" s="52" t="s">
        <v>21</v>
      </c>
      <c r="B31" s="53" t="s">
        <v>5</v>
      </c>
      <c r="C31" s="55">
        <f>C30/(C29/60)/4180</f>
        <v>2.2192143037018379</v>
      </c>
    </row>
    <row r="34" spans="1:1" x14ac:dyDescent="0.2">
      <c r="A34" s="139" t="s">
        <v>137</v>
      </c>
    </row>
  </sheetData>
  <mergeCells count="2">
    <mergeCell ref="B2:Q2"/>
    <mergeCell ref="S2:W2"/>
  </mergeCells>
  <phoneticPr fontId="7" type="noConversion"/>
  <pageMargins left="0.75" right="0.75" top="1" bottom="1" header="0.5" footer="0.5"/>
  <pageSetup scale="69" orientation="landscape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C39"/>
  <sheetViews>
    <sheetView zoomScale="120" zoomScaleNormal="120" workbookViewId="0">
      <selection activeCell="D11" sqref="D11"/>
    </sheetView>
  </sheetViews>
  <sheetFormatPr defaultColWidth="8.85546875" defaultRowHeight="12.75" x14ac:dyDescent="0.2"/>
  <cols>
    <col min="1" max="1" width="28.28515625" customWidth="1"/>
    <col min="2" max="2" width="7.7109375" customWidth="1"/>
    <col min="3" max="3" width="8.7109375" customWidth="1"/>
    <col min="4" max="10" width="7.7109375" customWidth="1"/>
    <col min="11" max="11" width="10.28515625" bestFit="1" customWidth="1"/>
    <col min="12" max="12" width="5.7109375" customWidth="1"/>
    <col min="13" max="14" width="7.42578125" customWidth="1"/>
    <col min="15" max="17" width="8.42578125" customWidth="1"/>
    <col min="18" max="18" width="8.42578125" style="86" customWidth="1"/>
    <col min="19" max="19" width="2.7109375" customWidth="1"/>
    <col min="20" max="21" width="7.7109375" customWidth="1"/>
    <col min="22" max="22" width="2.7109375" customWidth="1"/>
    <col min="23" max="23" width="8" customWidth="1"/>
    <col min="24" max="24" width="7.7109375" customWidth="1"/>
  </cols>
  <sheetData>
    <row r="1" spans="1:133" ht="18" x14ac:dyDescent="0.25">
      <c r="A1" s="20" t="s">
        <v>84</v>
      </c>
      <c r="P1" t="s">
        <v>76</v>
      </c>
      <c r="Q1" t="s">
        <v>96</v>
      </c>
      <c r="R1" s="86" t="s">
        <v>81</v>
      </c>
    </row>
    <row r="2" spans="1:133" x14ac:dyDescent="0.2">
      <c r="B2" s="136" t="s">
        <v>62</v>
      </c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T2" s="137" t="s">
        <v>63</v>
      </c>
      <c r="U2" s="137"/>
      <c r="V2" s="137"/>
      <c r="W2" s="137"/>
      <c r="X2" s="137"/>
    </row>
    <row r="3" spans="1:133" ht="76.5" x14ac:dyDescent="0.2">
      <c r="A3" s="11"/>
      <c r="B3" s="14" t="s">
        <v>3</v>
      </c>
      <c r="C3" s="47" t="s">
        <v>71</v>
      </c>
      <c r="D3" s="14" t="s">
        <v>45</v>
      </c>
      <c r="E3" s="14" t="s">
        <v>46</v>
      </c>
      <c r="F3" s="14" t="s">
        <v>30</v>
      </c>
      <c r="G3" s="14" t="s">
        <v>47</v>
      </c>
      <c r="H3" s="14" t="s">
        <v>48</v>
      </c>
      <c r="I3" s="14" t="s">
        <v>31</v>
      </c>
      <c r="J3" s="14" t="s">
        <v>123</v>
      </c>
      <c r="K3" s="15" t="s">
        <v>59</v>
      </c>
      <c r="L3" s="14" t="s">
        <v>13</v>
      </c>
      <c r="M3" s="14" t="s">
        <v>121</v>
      </c>
      <c r="N3" s="14" t="s">
        <v>122</v>
      </c>
      <c r="O3" s="14" t="s">
        <v>51</v>
      </c>
      <c r="P3" s="67" t="s">
        <v>77</v>
      </c>
      <c r="Q3" s="69" t="s">
        <v>78</v>
      </c>
      <c r="R3" s="87" t="s">
        <v>79</v>
      </c>
      <c r="S3" s="7"/>
      <c r="T3" s="14" t="s">
        <v>28</v>
      </c>
      <c r="U3" s="51" t="s">
        <v>18</v>
      </c>
      <c r="V3" s="7"/>
      <c r="W3" s="14" t="s">
        <v>29</v>
      </c>
      <c r="X3" s="51" t="s">
        <v>18</v>
      </c>
    </row>
    <row r="4" spans="1:133" x14ac:dyDescent="0.2">
      <c r="A4" s="13" t="s">
        <v>1</v>
      </c>
      <c r="B4" s="4" t="s">
        <v>6</v>
      </c>
      <c r="C4" s="43">
        <v>60.32</v>
      </c>
      <c r="D4" s="5">
        <v>9.5</v>
      </c>
      <c r="E4" s="5">
        <v>9.5</v>
      </c>
      <c r="F4" s="5">
        <v>9.5</v>
      </c>
      <c r="G4" s="5">
        <v>8</v>
      </c>
      <c r="H4" s="5">
        <v>8</v>
      </c>
      <c r="I4" s="5">
        <v>8</v>
      </c>
      <c r="J4" s="5">
        <v>8</v>
      </c>
      <c r="K4" s="5">
        <v>12.7</v>
      </c>
      <c r="L4" s="5">
        <v>12.7</v>
      </c>
      <c r="M4" s="5">
        <v>10</v>
      </c>
      <c r="N4" s="5">
        <v>10</v>
      </c>
      <c r="O4" s="5">
        <v>10</v>
      </c>
      <c r="P4" s="79">
        <v>8</v>
      </c>
      <c r="Q4" s="80">
        <v>8</v>
      </c>
      <c r="R4" s="88">
        <v>8</v>
      </c>
      <c r="S4" s="8"/>
      <c r="T4" s="5">
        <v>48.26</v>
      </c>
      <c r="U4" s="5">
        <v>33.700000000000003</v>
      </c>
      <c r="V4" s="8"/>
      <c r="W4" s="5">
        <v>48.26</v>
      </c>
      <c r="X4" s="5">
        <v>33.700000000000003</v>
      </c>
    </row>
    <row r="5" spans="1:133" x14ac:dyDescent="0.2">
      <c r="A5" s="13" t="s">
        <v>2</v>
      </c>
      <c r="B5" s="4" t="s">
        <v>6</v>
      </c>
      <c r="C5" s="43">
        <v>1.65</v>
      </c>
      <c r="D5" s="5">
        <v>0.76</v>
      </c>
      <c r="E5" s="5">
        <v>0.76</v>
      </c>
      <c r="F5" s="5">
        <v>0.76</v>
      </c>
      <c r="G5" s="5">
        <v>1</v>
      </c>
      <c r="H5" s="5">
        <v>1</v>
      </c>
      <c r="I5" s="5">
        <v>1</v>
      </c>
      <c r="J5" s="5">
        <v>1</v>
      </c>
      <c r="K5" s="5">
        <v>1.24</v>
      </c>
      <c r="L5" s="5">
        <v>1.24</v>
      </c>
      <c r="M5" s="5">
        <v>1</v>
      </c>
      <c r="N5" s="5">
        <v>1</v>
      </c>
      <c r="O5" s="5">
        <v>1</v>
      </c>
      <c r="P5" s="79">
        <v>1</v>
      </c>
      <c r="Q5" s="80">
        <v>1</v>
      </c>
      <c r="R5" s="88">
        <v>1</v>
      </c>
      <c r="S5" s="8"/>
      <c r="T5" s="5">
        <v>1.65</v>
      </c>
      <c r="U5" s="5">
        <v>3.2</v>
      </c>
      <c r="V5" s="8"/>
      <c r="W5" s="5">
        <v>1.65</v>
      </c>
      <c r="X5" s="5">
        <v>3.2</v>
      </c>
    </row>
    <row r="6" spans="1:133" x14ac:dyDescent="0.2">
      <c r="A6" s="13" t="s">
        <v>25</v>
      </c>
      <c r="B6" s="4" t="s">
        <v>6</v>
      </c>
      <c r="C6" s="43">
        <f t="shared" ref="C6:O6" si="0">C4-(2*C5)</f>
        <v>57.02</v>
      </c>
      <c r="D6" s="5">
        <f t="shared" si="0"/>
        <v>7.98</v>
      </c>
      <c r="E6" s="5">
        <f t="shared" si="0"/>
        <v>7.98</v>
      </c>
      <c r="F6" s="5">
        <f t="shared" si="0"/>
        <v>7.98</v>
      </c>
      <c r="G6" s="31">
        <f t="shared" si="0"/>
        <v>6</v>
      </c>
      <c r="H6" s="31">
        <f t="shared" si="0"/>
        <v>6</v>
      </c>
      <c r="I6" s="5">
        <f t="shared" si="0"/>
        <v>6</v>
      </c>
      <c r="J6" s="5">
        <f t="shared" ref="I6:J6" si="1">J4-(2*J5)</f>
        <v>6</v>
      </c>
      <c r="K6" s="5">
        <f t="shared" si="0"/>
        <v>10.219999999999999</v>
      </c>
      <c r="L6" s="5">
        <f t="shared" si="0"/>
        <v>10.219999999999999</v>
      </c>
      <c r="M6" s="5">
        <f t="shared" si="0"/>
        <v>8</v>
      </c>
      <c r="N6" s="5">
        <f t="shared" si="0"/>
        <v>8</v>
      </c>
      <c r="O6" s="5">
        <f t="shared" si="0"/>
        <v>8</v>
      </c>
      <c r="P6" s="79">
        <v>6</v>
      </c>
      <c r="Q6" s="80">
        <v>6</v>
      </c>
      <c r="R6" s="88">
        <f>R4-2*R5</f>
        <v>6</v>
      </c>
      <c r="S6" s="70"/>
      <c r="T6" s="31">
        <f>T4-(2*T5)</f>
        <v>44.96</v>
      </c>
      <c r="U6" s="31">
        <f>U4-(2*U5)</f>
        <v>27.300000000000004</v>
      </c>
      <c r="V6" s="70"/>
      <c r="W6" s="31">
        <f>W4-(2*W5)</f>
        <v>44.96</v>
      </c>
      <c r="X6" s="31">
        <f>X4-(2*X5)</f>
        <v>27.300000000000004</v>
      </c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33"/>
      <c r="AK6" s="33"/>
      <c r="AL6" s="33"/>
      <c r="AM6" s="33"/>
      <c r="AN6" s="33"/>
      <c r="AO6" s="33"/>
      <c r="AP6" s="33"/>
      <c r="AQ6" s="33"/>
      <c r="AR6" s="33"/>
      <c r="AS6" s="33"/>
      <c r="AT6" s="33"/>
      <c r="AU6" s="33"/>
      <c r="AV6" s="33"/>
      <c r="AW6" s="33"/>
      <c r="AX6" s="33"/>
      <c r="AY6" s="33"/>
      <c r="AZ6" s="33"/>
      <c r="BA6" s="33"/>
      <c r="BB6" s="33"/>
      <c r="BC6" s="33"/>
      <c r="BD6" s="33"/>
      <c r="BE6" s="33"/>
      <c r="BF6" s="33"/>
      <c r="BG6" s="33"/>
      <c r="BH6" s="33"/>
      <c r="BI6" s="33"/>
      <c r="BJ6" s="33"/>
      <c r="BK6" s="33"/>
      <c r="BL6" s="33"/>
      <c r="BM6" s="33"/>
      <c r="BN6" s="33"/>
      <c r="BO6" s="33"/>
      <c r="BP6" s="33"/>
      <c r="BQ6" s="33"/>
      <c r="BR6" s="33"/>
      <c r="BS6" s="33"/>
      <c r="BT6" s="33"/>
      <c r="BU6" s="33"/>
      <c r="BV6" s="33"/>
      <c r="BW6" s="33"/>
      <c r="BX6" s="33"/>
      <c r="BY6" s="33"/>
      <c r="BZ6" s="33"/>
      <c r="CA6" s="33"/>
      <c r="CB6" s="33"/>
      <c r="CC6" s="33"/>
      <c r="CD6" s="33"/>
      <c r="CE6" s="33"/>
      <c r="CF6" s="33"/>
      <c r="CG6" s="33"/>
      <c r="CH6" s="33"/>
      <c r="CI6" s="33"/>
      <c r="CJ6" s="33"/>
      <c r="CK6" s="33"/>
      <c r="CL6" s="33"/>
      <c r="CM6" s="33"/>
      <c r="CN6" s="33"/>
      <c r="CO6" s="33"/>
      <c r="CP6" s="33"/>
      <c r="CQ6" s="33"/>
      <c r="CR6" s="33"/>
      <c r="CS6" s="33"/>
      <c r="CT6" s="33"/>
      <c r="CU6" s="33"/>
      <c r="CV6" s="33"/>
      <c r="CW6" s="33"/>
      <c r="CX6" s="33"/>
      <c r="CY6" s="33"/>
      <c r="CZ6" s="33"/>
      <c r="DA6" s="33"/>
      <c r="DB6" s="33"/>
      <c r="DC6" s="33"/>
      <c r="DD6" s="33"/>
      <c r="DE6" s="33"/>
      <c r="DF6" s="33"/>
      <c r="DG6" s="33"/>
      <c r="DH6" s="33"/>
      <c r="DI6" s="33"/>
      <c r="DJ6" s="33"/>
      <c r="DK6" s="33"/>
      <c r="DL6" s="33"/>
      <c r="DM6" s="33"/>
      <c r="DN6" s="33"/>
      <c r="DO6" s="33"/>
      <c r="DP6" s="33"/>
      <c r="DQ6" s="33"/>
      <c r="DR6" s="33"/>
      <c r="DS6" s="33"/>
      <c r="DT6" s="33"/>
      <c r="DU6" s="33"/>
      <c r="DV6" s="33"/>
      <c r="DW6" s="33"/>
      <c r="DX6" s="33"/>
      <c r="DY6" s="33"/>
      <c r="DZ6" s="33"/>
      <c r="EA6" s="33"/>
      <c r="EB6" s="33"/>
      <c r="EC6" s="33"/>
    </row>
    <row r="7" spans="1:133" ht="14.25" x14ac:dyDescent="0.2">
      <c r="A7" s="13" t="s">
        <v>26</v>
      </c>
      <c r="B7" s="4" t="s">
        <v>11</v>
      </c>
      <c r="C7" s="44">
        <f t="shared" ref="C7:R7" si="2">0.25*3.14*(C6^2)</f>
        <v>2552.2551140000005</v>
      </c>
      <c r="D7" s="6">
        <f t="shared" si="2"/>
        <v>49.989114000000008</v>
      </c>
      <c r="E7" s="6">
        <f t="shared" si="2"/>
        <v>49.989114000000008</v>
      </c>
      <c r="F7" s="6">
        <f t="shared" si="2"/>
        <v>49.989114000000008</v>
      </c>
      <c r="G7" s="30">
        <f t="shared" si="2"/>
        <v>28.26</v>
      </c>
      <c r="H7" s="30">
        <f t="shared" si="2"/>
        <v>28.26</v>
      </c>
      <c r="I7" s="6">
        <f t="shared" si="2"/>
        <v>28.26</v>
      </c>
      <c r="J7" s="6">
        <f t="shared" ref="I7:J7" si="3">0.25*3.14*(J6^2)</f>
        <v>28.26</v>
      </c>
      <c r="K7" s="6">
        <f t="shared" si="2"/>
        <v>81.991993999999991</v>
      </c>
      <c r="L7" s="6">
        <f t="shared" si="2"/>
        <v>81.991993999999991</v>
      </c>
      <c r="M7" s="6">
        <f t="shared" si="2"/>
        <v>50.24</v>
      </c>
      <c r="N7" s="6">
        <f t="shared" si="2"/>
        <v>50.24</v>
      </c>
      <c r="O7" s="6">
        <f t="shared" si="2"/>
        <v>50.24</v>
      </c>
      <c r="P7" s="30">
        <f t="shared" si="2"/>
        <v>28.26</v>
      </c>
      <c r="Q7" s="30">
        <f t="shared" si="2"/>
        <v>28.26</v>
      </c>
      <c r="R7" s="89">
        <f t="shared" si="2"/>
        <v>28.26</v>
      </c>
      <c r="S7" s="71"/>
      <c r="T7" s="30">
        <f>0.25*3.14*(T6^2)</f>
        <v>1586.8002560000002</v>
      </c>
      <c r="U7" s="30">
        <f>0.25*3.14*(U6^2)</f>
        <v>585.0526500000002</v>
      </c>
      <c r="V7" s="71"/>
      <c r="W7" s="30">
        <f>0.25*3.14*(W6^2)</f>
        <v>1586.8002560000002</v>
      </c>
      <c r="X7" s="30">
        <f>0.25*3.14*(X6^2)</f>
        <v>585.0526500000002</v>
      </c>
      <c r="Y7" s="33"/>
      <c r="Z7" s="33"/>
      <c r="AA7" s="33"/>
      <c r="AB7" s="33"/>
      <c r="AC7" s="33"/>
      <c r="AD7" s="33"/>
      <c r="AE7" s="33"/>
      <c r="AF7" s="33"/>
      <c r="AG7" s="33"/>
      <c r="AH7" s="33"/>
      <c r="AI7" s="33"/>
      <c r="AJ7" s="33"/>
      <c r="AK7" s="33"/>
      <c r="AL7" s="33"/>
      <c r="AM7" s="33"/>
      <c r="AN7" s="33"/>
      <c r="AO7" s="33"/>
      <c r="AP7" s="33"/>
      <c r="AQ7" s="33"/>
      <c r="AR7" s="33"/>
      <c r="AS7" s="33"/>
      <c r="AT7" s="33"/>
      <c r="AU7" s="33"/>
      <c r="AV7" s="33"/>
      <c r="AW7" s="33"/>
      <c r="AX7" s="33"/>
      <c r="AY7" s="33"/>
      <c r="AZ7" s="33"/>
      <c r="BA7" s="33"/>
      <c r="BB7" s="33"/>
      <c r="BC7" s="33"/>
      <c r="BD7" s="33"/>
      <c r="BE7" s="33"/>
      <c r="BF7" s="33"/>
      <c r="BG7" s="33"/>
      <c r="BH7" s="33"/>
      <c r="BI7" s="33"/>
      <c r="BJ7" s="33"/>
      <c r="BK7" s="33"/>
      <c r="BL7" s="33"/>
      <c r="BM7" s="33"/>
      <c r="BN7" s="33"/>
      <c r="BO7" s="33"/>
      <c r="BP7" s="33"/>
      <c r="BQ7" s="33"/>
      <c r="BR7" s="33"/>
      <c r="BS7" s="33"/>
      <c r="BT7" s="33"/>
      <c r="BU7" s="33"/>
      <c r="BV7" s="33"/>
      <c r="BW7" s="33"/>
      <c r="BX7" s="33"/>
      <c r="BY7" s="33"/>
      <c r="BZ7" s="33"/>
      <c r="CA7" s="33"/>
      <c r="CB7" s="33"/>
      <c r="CC7" s="33"/>
      <c r="CD7" s="33"/>
      <c r="CE7" s="33"/>
      <c r="CF7" s="33"/>
      <c r="CG7" s="33"/>
      <c r="CH7" s="33"/>
      <c r="CI7" s="33"/>
      <c r="CJ7" s="33"/>
      <c r="CK7" s="33"/>
      <c r="CL7" s="33"/>
      <c r="CM7" s="33"/>
      <c r="CN7" s="33"/>
      <c r="CO7" s="33"/>
      <c r="CP7" s="33"/>
      <c r="CQ7" s="33"/>
      <c r="CR7" s="33"/>
      <c r="CS7" s="33"/>
      <c r="CT7" s="33"/>
      <c r="CU7" s="33"/>
      <c r="CV7" s="33"/>
      <c r="CW7" s="33"/>
      <c r="CX7" s="33"/>
      <c r="CY7" s="33"/>
      <c r="CZ7" s="33"/>
      <c r="DA7" s="33"/>
      <c r="DB7" s="33"/>
      <c r="DC7" s="33"/>
      <c r="DD7" s="33"/>
      <c r="DE7" s="33"/>
      <c r="DF7" s="33"/>
      <c r="DG7" s="33"/>
      <c r="DH7" s="33"/>
      <c r="DI7" s="33"/>
      <c r="DJ7" s="33"/>
      <c r="DK7" s="33"/>
      <c r="DL7" s="33"/>
      <c r="DM7" s="33"/>
      <c r="DN7" s="33"/>
      <c r="DO7" s="33"/>
      <c r="DP7" s="33"/>
      <c r="DQ7" s="33"/>
      <c r="DR7" s="33"/>
      <c r="DS7" s="33"/>
      <c r="DT7" s="33"/>
      <c r="DU7" s="33"/>
      <c r="DV7" s="33"/>
      <c r="DW7" s="33"/>
      <c r="DX7" s="33"/>
      <c r="DY7" s="33"/>
      <c r="DZ7" s="33"/>
      <c r="EA7" s="33"/>
      <c r="EB7" s="33"/>
      <c r="EC7" s="33"/>
    </row>
    <row r="8" spans="1:133" s="40" customFormat="1" x14ac:dyDescent="0.2">
      <c r="A8" s="13" t="s">
        <v>4</v>
      </c>
      <c r="B8" s="4" t="s">
        <v>7</v>
      </c>
      <c r="C8" s="44">
        <f>SUMPRODUCT(D8:Q8,D16:Q16)</f>
        <v>399.4</v>
      </c>
      <c r="D8" s="32">
        <f>'Present YE1 '!D8</f>
        <v>2.2999999999999998</v>
      </c>
      <c r="E8" s="32">
        <f>'Present YE1 '!E8</f>
        <v>2.2999999999999998</v>
      </c>
      <c r="F8" s="32">
        <f>'Present YE1 '!F8</f>
        <v>4</v>
      </c>
      <c r="G8" s="32">
        <f>'Present YE1 '!H8</f>
        <v>2</v>
      </c>
      <c r="H8" s="32">
        <f>'Present YE1 '!I8</f>
        <v>2</v>
      </c>
      <c r="I8" s="132">
        <v>2</v>
      </c>
      <c r="J8" s="29">
        <v>2</v>
      </c>
      <c r="K8" s="32">
        <f>'Present YE1 '!M8</f>
        <v>5</v>
      </c>
      <c r="L8" s="32">
        <f>'Present YE1 '!N8</f>
        <v>2</v>
      </c>
      <c r="M8" s="32">
        <f>'Present YE1 '!O8</f>
        <v>4</v>
      </c>
      <c r="N8" s="32">
        <f>'Present YE1 '!P8</f>
        <v>2</v>
      </c>
      <c r="O8" s="32">
        <f>'Present YE1 '!Q8</f>
        <v>4</v>
      </c>
      <c r="P8" s="81">
        <v>4</v>
      </c>
      <c r="Q8" s="81">
        <v>2</v>
      </c>
      <c r="R8" s="90">
        <v>4</v>
      </c>
      <c r="S8" s="72"/>
      <c r="T8" s="32">
        <f>U8*U16</f>
        <v>91.2</v>
      </c>
      <c r="U8" s="32">
        <v>11.4</v>
      </c>
      <c r="V8" s="72"/>
      <c r="W8" s="32">
        <f>X8*X16</f>
        <v>91.2</v>
      </c>
      <c r="X8" s="32">
        <v>11.4</v>
      </c>
      <c r="Y8" s="33"/>
      <c r="Z8" s="33"/>
      <c r="AA8" s="33"/>
      <c r="AB8" s="33"/>
      <c r="AC8" s="33"/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3"/>
      <c r="AV8" s="33"/>
      <c r="AW8" s="33"/>
      <c r="AX8" s="33"/>
      <c r="AY8" s="33"/>
      <c r="AZ8" s="33"/>
      <c r="BA8" s="33"/>
      <c r="BB8" s="33"/>
      <c r="BC8" s="33"/>
      <c r="BD8" s="33"/>
      <c r="BE8" s="33"/>
      <c r="BF8" s="33"/>
      <c r="BG8" s="33"/>
      <c r="BH8" s="33"/>
      <c r="BI8" s="33"/>
      <c r="BJ8" s="33"/>
      <c r="BK8" s="33"/>
      <c r="BL8" s="33"/>
      <c r="BM8" s="33"/>
      <c r="BN8" s="33"/>
      <c r="BO8" s="33"/>
      <c r="BP8" s="33"/>
      <c r="BQ8" s="33"/>
      <c r="BR8" s="33"/>
      <c r="BS8" s="33"/>
      <c r="BT8" s="33"/>
      <c r="BU8" s="33"/>
      <c r="BV8" s="33"/>
      <c r="BW8" s="33"/>
      <c r="BX8" s="33"/>
      <c r="BY8" s="33"/>
      <c r="BZ8" s="33"/>
      <c r="CA8" s="33"/>
      <c r="CB8" s="33"/>
      <c r="CC8" s="33"/>
      <c r="CD8" s="33"/>
      <c r="CE8" s="33"/>
      <c r="CF8" s="33"/>
      <c r="CG8" s="33"/>
      <c r="CH8" s="33"/>
      <c r="CI8" s="33"/>
      <c r="CJ8" s="33"/>
      <c r="CK8" s="33"/>
      <c r="CL8" s="33"/>
      <c r="CM8" s="33"/>
      <c r="CN8" s="33"/>
      <c r="CO8" s="33"/>
      <c r="CP8" s="33"/>
      <c r="CQ8" s="33"/>
      <c r="CR8" s="33"/>
      <c r="CS8" s="33"/>
      <c r="CT8" s="33"/>
      <c r="CU8" s="33"/>
      <c r="CV8" s="33"/>
      <c r="CW8" s="33"/>
      <c r="CX8" s="33"/>
      <c r="CY8" s="33"/>
      <c r="CZ8" s="33"/>
      <c r="DA8" s="33"/>
      <c r="DB8" s="33"/>
      <c r="DC8" s="33"/>
      <c r="DD8" s="33"/>
      <c r="DE8" s="33"/>
      <c r="DF8" s="33"/>
      <c r="DG8" s="33"/>
      <c r="DH8" s="33"/>
      <c r="DI8" s="33"/>
      <c r="DJ8" s="33"/>
      <c r="DK8" s="33"/>
      <c r="DL8" s="33"/>
      <c r="DM8" s="33"/>
      <c r="DN8" s="33"/>
      <c r="DO8" s="33"/>
      <c r="DP8" s="33"/>
      <c r="DQ8" s="33"/>
      <c r="DR8" s="33"/>
      <c r="DS8" s="33"/>
      <c r="DT8" s="33"/>
      <c r="DU8" s="33"/>
      <c r="DV8" s="33"/>
      <c r="DW8" s="33"/>
      <c r="DX8" s="33"/>
      <c r="DY8" s="33"/>
      <c r="DZ8" s="33"/>
      <c r="EA8" s="33"/>
      <c r="EB8" s="33"/>
      <c r="EC8" s="33"/>
    </row>
    <row r="9" spans="1:133" x14ac:dyDescent="0.2">
      <c r="A9" s="13" t="s">
        <v>38</v>
      </c>
      <c r="B9" s="4" t="s">
        <v>14</v>
      </c>
      <c r="C9" s="44">
        <f t="shared" ref="C9:R9" si="4">(C8*1000/60)/C7</f>
        <v>2.6081509760339205</v>
      </c>
      <c r="D9" s="5">
        <f t="shared" si="4"/>
        <v>0.76683362168277935</v>
      </c>
      <c r="E9" s="5">
        <f t="shared" si="4"/>
        <v>0.76683362168277935</v>
      </c>
      <c r="F9" s="5">
        <f t="shared" si="4"/>
        <v>1.3336236898830947</v>
      </c>
      <c r="G9" s="31">
        <f t="shared" si="4"/>
        <v>1.1795234725171031</v>
      </c>
      <c r="H9" s="31">
        <f t="shared" si="4"/>
        <v>1.1795234725171031</v>
      </c>
      <c r="I9" s="31">
        <f t="shared" si="4"/>
        <v>1.1795234725171031</v>
      </c>
      <c r="J9" s="31">
        <f t="shared" ref="I9:J9" si="5">(J8*1000/60)/J7</f>
        <v>1.1795234725171031</v>
      </c>
      <c r="K9" s="5">
        <f t="shared" si="4"/>
        <v>1.0163593939834337</v>
      </c>
      <c r="L9" s="5">
        <f t="shared" si="4"/>
        <v>0.40654375759337358</v>
      </c>
      <c r="M9" s="5">
        <f t="shared" si="4"/>
        <v>1.3269639065817411</v>
      </c>
      <c r="N9" s="5">
        <f t="shared" si="4"/>
        <v>0.66348195329087056</v>
      </c>
      <c r="O9" s="5">
        <f t="shared" si="4"/>
        <v>1.3269639065817411</v>
      </c>
      <c r="P9" s="31">
        <f t="shared" si="4"/>
        <v>2.3590469450342062</v>
      </c>
      <c r="Q9" s="31">
        <f t="shared" si="4"/>
        <v>1.1795234725171031</v>
      </c>
      <c r="R9" s="91">
        <f t="shared" si="4"/>
        <v>2.3590469450342062</v>
      </c>
      <c r="S9" s="70"/>
      <c r="T9" s="31">
        <f>(T8*1000/60)/T7</f>
        <v>0.95790254271297504</v>
      </c>
      <c r="U9" s="31">
        <f>(U8*1000/60)/U7</f>
        <v>0.32475709664762636</v>
      </c>
      <c r="V9" s="70"/>
      <c r="W9" s="31">
        <f>(W8*1000/60)/W7</f>
        <v>0.95790254271297504</v>
      </c>
      <c r="X9" s="31">
        <f>(X8*1000/60)/X7</f>
        <v>0.32475709664762636</v>
      </c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3"/>
      <c r="AO9" s="33"/>
      <c r="AP9" s="33"/>
      <c r="AQ9" s="33"/>
      <c r="AR9" s="33"/>
      <c r="AS9" s="33"/>
      <c r="AT9" s="33"/>
      <c r="AU9" s="33"/>
      <c r="AV9" s="33"/>
      <c r="AW9" s="33"/>
      <c r="AX9" s="33"/>
      <c r="AY9" s="33"/>
      <c r="AZ9" s="33"/>
      <c r="BA9" s="33"/>
      <c r="BB9" s="33"/>
      <c r="BC9" s="33"/>
      <c r="BD9" s="33"/>
      <c r="BE9" s="33"/>
      <c r="BF9" s="33"/>
      <c r="BG9" s="33"/>
      <c r="BH9" s="33"/>
      <c r="BI9" s="33"/>
      <c r="BJ9" s="33"/>
      <c r="BK9" s="33"/>
      <c r="BL9" s="33"/>
      <c r="BM9" s="33"/>
      <c r="BN9" s="33"/>
      <c r="BO9" s="33"/>
      <c r="BP9" s="33"/>
      <c r="BQ9" s="33"/>
      <c r="BR9" s="33"/>
      <c r="BS9" s="33"/>
      <c r="BT9" s="33"/>
      <c r="BU9" s="33"/>
      <c r="BV9" s="33"/>
      <c r="BW9" s="33"/>
      <c r="BX9" s="33"/>
      <c r="BY9" s="33"/>
      <c r="BZ9" s="33"/>
      <c r="CA9" s="33"/>
      <c r="CB9" s="33"/>
      <c r="CC9" s="33"/>
      <c r="CD9" s="33"/>
      <c r="CE9" s="33"/>
      <c r="CF9" s="33"/>
      <c r="CG9" s="33"/>
      <c r="CH9" s="33"/>
      <c r="CI9" s="33"/>
      <c r="CJ9" s="33"/>
      <c r="CK9" s="33"/>
      <c r="CL9" s="33"/>
      <c r="CM9" s="33"/>
      <c r="CN9" s="33"/>
      <c r="CO9" s="33"/>
      <c r="CP9" s="33"/>
      <c r="CQ9" s="33"/>
      <c r="CR9" s="33"/>
      <c r="CS9" s="33"/>
      <c r="CT9" s="33"/>
      <c r="CU9" s="33"/>
      <c r="CV9" s="33"/>
      <c r="CW9" s="33"/>
      <c r="CX9" s="33"/>
      <c r="CY9" s="33"/>
      <c r="CZ9" s="33"/>
      <c r="DA9" s="33"/>
      <c r="DB9" s="33"/>
      <c r="DC9" s="33"/>
      <c r="DD9" s="33"/>
      <c r="DE9" s="33"/>
      <c r="DF9" s="33"/>
      <c r="DG9" s="33"/>
      <c r="DH9" s="33"/>
      <c r="DI9" s="33"/>
      <c r="DJ9" s="33"/>
      <c r="DK9" s="33"/>
      <c r="DL9" s="33"/>
      <c r="DM9" s="33"/>
      <c r="DN9" s="33"/>
      <c r="DO9" s="33"/>
      <c r="DP9" s="33"/>
      <c r="DQ9" s="33"/>
      <c r="DR9" s="33"/>
      <c r="DS9" s="33"/>
      <c r="DT9" s="33"/>
      <c r="DU9" s="33"/>
      <c r="DV9" s="33"/>
      <c r="DW9" s="33"/>
      <c r="DX9" s="33"/>
      <c r="DY9" s="33"/>
      <c r="DZ9" s="33"/>
      <c r="EA9" s="33"/>
      <c r="EB9" s="33"/>
      <c r="EC9" s="33"/>
    </row>
    <row r="10" spans="1:133" x14ac:dyDescent="0.2">
      <c r="A10" s="13" t="s">
        <v>42</v>
      </c>
      <c r="B10" s="4" t="s">
        <v>43</v>
      </c>
      <c r="C10" s="44">
        <f t="shared" ref="C10:R10" si="6">(C9*(C6/1000))/(1.035*10^-6)</f>
        <v>143687.69918208133</v>
      </c>
      <c r="D10" s="6">
        <f t="shared" si="6"/>
        <v>5912.3983584817206</v>
      </c>
      <c r="E10" s="6">
        <f t="shared" si="6"/>
        <v>5912.3983584817206</v>
      </c>
      <c r="F10" s="6">
        <f t="shared" si="6"/>
        <v>10282.4319277943</v>
      </c>
      <c r="G10" s="30">
        <f t="shared" si="6"/>
        <v>6837.8172319832074</v>
      </c>
      <c r="H10" s="30">
        <f t="shared" si="6"/>
        <v>6837.8172319832074</v>
      </c>
      <c r="I10" s="30">
        <f t="shared" si="6"/>
        <v>6837.8172319832074</v>
      </c>
      <c r="J10" s="30">
        <f t="shared" ref="I10:J10" si="7">(J9*(J6/1000))/(1.035*10^-6)</f>
        <v>6837.8172319832074</v>
      </c>
      <c r="K10" s="6">
        <f t="shared" si="6"/>
        <v>10035.935271991008</v>
      </c>
      <c r="L10" s="6">
        <f t="shared" si="6"/>
        <v>4014.374108796404</v>
      </c>
      <c r="M10" s="6">
        <f t="shared" si="6"/>
        <v>10256.725847974812</v>
      </c>
      <c r="N10" s="6">
        <f t="shared" si="6"/>
        <v>5128.3629239874062</v>
      </c>
      <c r="O10" s="6">
        <f t="shared" si="6"/>
        <v>10256.725847974812</v>
      </c>
      <c r="P10" s="30">
        <f t="shared" si="6"/>
        <v>13675.634463966415</v>
      </c>
      <c r="Q10" s="30">
        <f t="shared" si="6"/>
        <v>6837.8172319832074</v>
      </c>
      <c r="R10" s="89">
        <f t="shared" si="6"/>
        <v>13675.634463966415</v>
      </c>
      <c r="S10" s="70"/>
      <c r="T10" s="30">
        <f>(T9*(T6/1000))/(1.035*10^-6)</f>
        <v>41610.916251570401</v>
      </c>
      <c r="U10" s="30">
        <f>(U9*(U6/1000))/(1.035*10^-6)</f>
        <v>8566.0567521547855</v>
      </c>
      <c r="V10" s="70"/>
      <c r="W10" s="30">
        <f>(W9*(W6/1000))/(1.035*10^-6)</f>
        <v>41610.916251570401</v>
      </c>
      <c r="X10" s="30">
        <f>(X9*(X6/1000))/(1.035*10^-6)</f>
        <v>8566.0567521547855</v>
      </c>
      <c r="Y10" s="33"/>
      <c r="Z10" s="33"/>
      <c r="AA10" s="33"/>
      <c r="AB10" s="33"/>
      <c r="AC10" s="33"/>
      <c r="AD10" s="33"/>
      <c r="AE10" s="33"/>
      <c r="AF10" s="33"/>
      <c r="AG10" s="33"/>
      <c r="AH10" s="33"/>
      <c r="AI10" s="33"/>
      <c r="AJ10" s="33"/>
      <c r="AK10" s="33"/>
      <c r="AL10" s="33"/>
      <c r="AM10" s="33"/>
      <c r="AN10" s="33"/>
      <c r="AO10" s="33"/>
      <c r="AP10" s="33"/>
      <c r="AQ10" s="33"/>
      <c r="AR10" s="33"/>
      <c r="AS10" s="33"/>
      <c r="AT10" s="33"/>
      <c r="AU10" s="33"/>
      <c r="AV10" s="33"/>
      <c r="AW10" s="33"/>
      <c r="AX10" s="33"/>
      <c r="AY10" s="33"/>
      <c r="AZ10" s="33"/>
      <c r="BA10" s="33"/>
      <c r="BB10" s="33"/>
      <c r="BC10" s="33"/>
      <c r="BD10" s="33"/>
      <c r="BE10" s="33"/>
      <c r="BF10" s="33"/>
      <c r="BG10" s="33"/>
      <c r="BH10" s="33"/>
      <c r="BI10" s="33"/>
      <c r="BJ10" s="33"/>
      <c r="BK10" s="33"/>
      <c r="BL10" s="33"/>
      <c r="BM10" s="33"/>
      <c r="BN10" s="33"/>
      <c r="BO10" s="33"/>
      <c r="BP10" s="33"/>
      <c r="BQ10" s="33"/>
      <c r="BR10" s="33"/>
      <c r="BS10" s="33"/>
      <c r="BT10" s="33"/>
      <c r="BU10" s="33"/>
      <c r="BV10" s="33"/>
      <c r="BW10" s="33"/>
      <c r="BX10" s="33"/>
      <c r="BY10" s="33"/>
      <c r="BZ10" s="33"/>
      <c r="CA10" s="33"/>
      <c r="CB10" s="33"/>
      <c r="CC10" s="33"/>
      <c r="CD10" s="33"/>
      <c r="CE10" s="33"/>
      <c r="CF10" s="33"/>
      <c r="CG10" s="33"/>
      <c r="CH10" s="33"/>
      <c r="CI10" s="33"/>
      <c r="CJ10" s="33"/>
      <c r="CK10" s="33"/>
      <c r="CL10" s="33"/>
      <c r="CM10" s="33"/>
      <c r="CN10" s="33"/>
      <c r="CO10" s="33"/>
      <c r="CP10" s="33"/>
      <c r="CQ10" s="33"/>
      <c r="CR10" s="33"/>
      <c r="CS10" s="33"/>
      <c r="CT10" s="33"/>
      <c r="CU10" s="33"/>
      <c r="CV10" s="33"/>
      <c r="CW10" s="33"/>
      <c r="CX10" s="33"/>
      <c r="CY10" s="33"/>
      <c r="CZ10" s="33"/>
      <c r="DA10" s="33"/>
      <c r="DB10" s="33"/>
      <c r="DC10" s="33"/>
      <c r="DD10" s="33"/>
      <c r="DE10" s="33"/>
      <c r="DF10" s="33"/>
      <c r="DG10" s="33"/>
      <c r="DH10" s="33"/>
      <c r="DI10" s="33"/>
      <c r="DJ10" s="33"/>
      <c r="DK10" s="33"/>
      <c r="DL10" s="33"/>
      <c r="DM10" s="33"/>
      <c r="DN10" s="33"/>
      <c r="DO10" s="33"/>
      <c r="DP10" s="33"/>
      <c r="DQ10" s="33"/>
      <c r="DR10" s="33"/>
      <c r="DS10" s="33"/>
      <c r="DT10" s="33"/>
      <c r="DU10" s="33"/>
      <c r="DV10" s="33"/>
      <c r="DW10" s="33"/>
      <c r="DX10" s="33"/>
      <c r="DY10" s="33"/>
      <c r="DZ10" s="33"/>
      <c r="EA10" s="33"/>
      <c r="EB10" s="33"/>
      <c r="EC10" s="33"/>
    </row>
    <row r="11" spans="1:133" s="40" customFormat="1" x14ac:dyDescent="0.2">
      <c r="A11" s="13" t="s">
        <v>91</v>
      </c>
      <c r="B11" s="4" t="s">
        <v>8</v>
      </c>
      <c r="C11" s="44"/>
      <c r="D11" s="30">
        <f>'Present YE1 '!D11</f>
        <v>86</v>
      </c>
      <c r="E11" s="30">
        <f>'Present YE1 '!E11</f>
        <v>105</v>
      </c>
      <c r="F11" s="30">
        <f>'Present YE1 '!F11</f>
        <v>270</v>
      </c>
      <c r="G11" s="30">
        <f>'Present YE1 '!H11</f>
        <v>10</v>
      </c>
      <c r="H11" s="30">
        <f>'Present YE1 '!I11</f>
        <v>10</v>
      </c>
      <c r="I11" s="30">
        <v>10</v>
      </c>
      <c r="J11" s="38">
        <v>300</v>
      </c>
      <c r="K11" s="30">
        <f>'Present YE1 '!M11</f>
        <v>0</v>
      </c>
      <c r="L11" s="30">
        <f>'Present YE1 '!N11</f>
        <v>0</v>
      </c>
      <c r="M11" s="30">
        <f>'Present YE1 '!O11</f>
        <v>0</v>
      </c>
      <c r="N11" s="30">
        <f>'Present YE1 '!P11</f>
        <v>0</v>
      </c>
      <c r="O11" s="30">
        <f>'Present YE1 '!Q11</f>
        <v>0</v>
      </c>
      <c r="P11" s="82">
        <v>40</v>
      </c>
      <c r="Q11" s="83">
        <v>160</v>
      </c>
      <c r="R11" s="92">
        <v>60</v>
      </c>
      <c r="S11" s="70"/>
      <c r="T11" s="30"/>
      <c r="U11" s="30"/>
      <c r="V11" s="70"/>
      <c r="W11" s="30"/>
      <c r="X11" s="30"/>
      <c r="Y11" s="33"/>
      <c r="Z11" s="33"/>
      <c r="AA11" s="33"/>
      <c r="AB11" s="33"/>
      <c r="AC11" s="33"/>
      <c r="AD11" s="33"/>
      <c r="AE11" s="33"/>
      <c r="AF11" s="33"/>
      <c r="AG11" s="33"/>
      <c r="AH11" s="33"/>
      <c r="AI11" s="33"/>
      <c r="AJ11" s="33"/>
      <c r="AK11" s="33"/>
      <c r="AL11" s="33"/>
      <c r="AM11" s="33"/>
      <c r="AN11" s="33"/>
      <c r="AO11" s="33"/>
      <c r="AP11" s="33"/>
      <c r="AQ11" s="33"/>
      <c r="AR11" s="33"/>
      <c r="AS11" s="33"/>
      <c r="AT11" s="33"/>
      <c r="AU11" s="33"/>
      <c r="AV11" s="33"/>
      <c r="AW11" s="33"/>
      <c r="AX11" s="33"/>
      <c r="AY11" s="33"/>
      <c r="AZ11" s="33"/>
      <c r="BA11" s="33"/>
      <c r="BB11" s="33"/>
      <c r="BC11" s="33"/>
      <c r="BD11" s="33"/>
      <c r="BE11" s="33"/>
      <c r="BF11" s="33"/>
      <c r="BG11" s="33"/>
      <c r="BH11" s="33"/>
      <c r="BI11" s="33"/>
      <c r="BJ11" s="33"/>
      <c r="BK11" s="33"/>
      <c r="BL11" s="33"/>
      <c r="BM11" s="33"/>
      <c r="BN11" s="33"/>
      <c r="BO11" s="33"/>
      <c r="BP11" s="33"/>
      <c r="BQ11" s="33"/>
      <c r="BR11" s="33"/>
      <c r="BS11" s="33"/>
      <c r="BT11" s="33"/>
      <c r="BU11" s="33"/>
      <c r="BV11" s="33"/>
      <c r="BW11" s="33"/>
      <c r="BX11" s="33"/>
      <c r="BY11" s="33"/>
      <c r="BZ11" s="33"/>
      <c r="CA11" s="33"/>
      <c r="CB11" s="33"/>
      <c r="CC11" s="33"/>
      <c r="CD11" s="33"/>
      <c r="CE11" s="33"/>
      <c r="CF11" s="33"/>
      <c r="CG11" s="33"/>
      <c r="CH11" s="33"/>
      <c r="CI11" s="33"/>
      <c r="CJ11" s="33"/>
      <c r="CK11" s="33"/>
      <c r="CL11" s="33"/>
      <c r="CM11" s="33"/>
      <c r="CN11" s="33"/>
      <c r="CO11" s="33"/>
      <c r="CP11" s="33"/>
      <c r="CQ11" s="33"/>
      <c r="CR11" s="33"/>
      <c r="CS11" s="33"/>
      <c r="CT11" s="33"/>
      <c r="CU11" s="33"/>
      <c r="CV11" s="33"/>
      <c r="CW11" s="33"/>
      <c r="CX11" s="33"/>
      <c r="CY11" s="33"/>
      <c r="CZ11" s="33"/>
      <c r="DA11" s="33"/>
      <c r="DB11" s="33"/>
      <c r="DC11" s="33"/>
      <c r="DD11" s="33"/>
      <c r="DE11" s="33"/>
      <c r="DF11" s="33"/>
      <c r="DG11" s="33"/>
      <c r="DH11" s="33"/>
      <c r="DI11" s="33"/>
      <c r="DJ11" s="33"/>
      <c r="DK11" s="33"/>
      <c r="DL11" s="33"/>
      <c r="DM11" s="33"/>
      <c r="DN11" s="33"/>
      <c r="DO11" s="33"/>
      <c r="DP11" s="33"/>
      <c r="DQ11" s="33"/>
      <c r="DR11" s="33"/>
      <c r="DS11" s="33"/>
      <c r="DT11" s="33"/>
      <c r="DU11" s="33"/>
      <c r="DV11" s="33"/>
      <c r="DW11" s="33"/>
      <c r="DX11" s="33"/>
      <c r="DY11" s="33"/>
      <c r="DZ11" s="33"/>
      <c r="EA11" s="33"/>
      <c r="EB11" s="33"/>
      <c r="EC11" s="33"/>
    </row>
    <row r="12" spans="1:133" s="40" customFormat="1" x14ac:dyDescent="0.2">
      <c r="A12" s="13" t="s">
        <v>70</v>
      </c>
      <c r="B12" s="4"/>
      <c r="C12" s="44"/>
      <c r="D12" s="30">
        <f>'Present YE1 '!D12</f>
        <v>4</v>
      </c>
      <c r="E12" s="30">
        <f>'Present YE1 '!E12</f>
        <v>4</v>
      </c>
      <c r="F12" s="30">
        <f>'Present YE1 '!F12</f>
        <v>2</v>
      </c>
      <c r="G12" s="30">
        <f>'Present YE1 '!H12</f>
        <v>6</v>
      </c>
      <c r="H12" s="30">
        <f>'Present YE1 '!I12</f>
        <v>6</v>
      </c>
      <c r="I12" s="30">
        <v>4</v>
      </c>
      <c r="J12" s="40">
        <v>1</v>
      </c>
      <c r="K12" s="30">
        <f>'Present YE1 '!M12</f>
        <v>0</v>
      </c>
      <c r="L12" s="30">
        <f>'Present YE1 '!N12</f>
        <v>0</v>
      </c>
      <c r="M12" s="30">
        <f>'Present YE1 '!O12</f>
        <v>0</v>
      </c>
      <c r="N12" s="30">
        <f>'Present YE1 '!P12</f>
        <v>0</v>
      </c>
      <c r="O12" s="30">
        <f>'Present YE1 '!Q12</f>
        <v>0</v>
      </c>
      <c r="P12" s="82">
        <v>12</v>
      </c>
      <c r="Q12" s="83">
        <v>6</v>
      </c>
      <c r="R12" s="92">
        <v>6</v>
      </c>
      <c r="S12" s="70"/>
      <c r="T12" s="30"/>
      <c r="U12" s="30"/>
      <c r="V12" s="70"/>
      <c r="W12" s="30"/>
      <c r="X12" s="30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33"/>
      <c r="AJ12" s="33"/>
      <c r="AK12" s="33"/>
      <c r="AL12" s="33"/>
      <c r="AM12" s="33"/>
      <c r="AN12" s="33"/>
      <c r="AO12" s="33"/>
      <c r="AP12" s="33"/>
      <c r="AQ12" s="33"/>
      <c r="AR12" s="33"/>
      <c r="AS12" s="33"/>
      <c r="AT12" s="33"/>
      <c r="AU12" s="33"/>
      <c r="AV12" s="33"/>
      <c r="AW12" s="33"/>
      <c r="AX12" s="33"/>
      <c r="AY12" s="33"/>
      <c r="AZ12" s="33"/>
      <c r="BA12" s="33"/>
      <c r="BB12" s="33"/>
      <c r="BC12" s="33"/>
      <c r="BD12" s="33"/>
      <c r="BE12" s="33"/>
      <c r="BF12" s="33"/>
      <c r="BG12" s="33"/>
      <c r="BH12" s="33"/>
      <c r="BI12" s="33"/>
      <c r="BJ12" s="33"/>
      <c r="BK12" s="33"/>
      <c r="BL12" s="33"/>
      <c r="BM12" s="33"/>
      <c r="BN12" s="33"/>
      <c r="BO12" s="33"/>
      <c r="BP12" s="33"/>
      <c r="BQ12" s="33"/>
      <c r="BR12" s="33"/>
      <c r="BS12" s="33"/>
      <c r="BT12" s="33"/>
      <c r="BU12" s="33"/>
      <c r="BV12" s="33"/>
      <c r="BW12" s="33"/>
      <c r="BX12" s="33"/>
      <c r="BY12" s="33"/>
      <c r="BZ12" s="33"/>
      <c r="CA12" s="33"/>
      <c r="CB12" s="33"/>
      <c r="CC12" s="33"/>
      <c r="CD12" s="33"/>
      <c r="CE12" s="33"/>
      <c r="CF12" s="33"/>
      <c r="CG12" s="33"/>
      <c r="CH12" s="33"/>
      <c r="CI12" s="33"/>
      <c r="CJ12" s="33"/>
      <c r="CK12" s="33"/>
      <c r="CL12" s="33"/>
      <c r="CM12" s="33"/>
      <c r="CN12" s="33"/>
      <c r="CO12" s="33"/>
      <c r="CP12" s="33"/>
      <c r="CQ12" s="33"/>
      <c r="CR12" s="33"/>
      <c r="CS12" s="33"/>
      <c r="CT12" s="33"/>
      <c r="CU12" s="33"/>
      <c r="CV12" s="33"/>
      <c r="CW12" s="33"/>
      <c r="CX12" s="33"/>
      <c r="CY12" s="33"/>
      <c r="CZ12" s="33"/>
      <c r="DA12" s="33"/>
      <c r="DB12" s="33"/>
      <c r="DC12" s="33"/>
      <c r="DD12" s="33"/>
      <c r="DE12" s="33"/>
      <c r="DF12" s="33"/>
      <c r="DG12" s="33"/>
      <c r="DH12" s="33"/>
      <c r="DI12" s="33"/>
      <c r="DJ12" s="33"/>
      <c r="DK12" s="33"/>
      <c r="DL12" s="33"/>
      <c r="DM12" s="33"/>
      <c r="DN12" s="33"/>
      <c r="DO12" s="33"/>
      <c r="DP12" s="33"/>
      <c r="DQ12" s="33"/>
      <c r="DR12" s="33"/>
      <c r="DS12" s="33"/>
      <c r="DT12" s="33"/>
      <c r="DU12" s="33"/>
      <c r="DV12" s="33"/>
      <c r="DW12" s="33"/>
      <c r="DX12" s="33"/>
      <c r="DY12" s="33"/>
      <c r="DZ12" s="33"/>
      <c r="EA12" s="33"/>
      <c r="EB12" s="33"/>
      <c r="EC12" s="33"/>
    </row>
    <row r="13" spans="1:133" x14ac:dyDescent="0.2">
      <c r="A13" s="13" t="s">
        <v>17</v>
      </c>
      <c r="B13" s="4" t="s">
        <v>8</v>
      </c>
      <c r="C13" s="44">
        <f>C18</f>
        <v>44640</v>
      </c>
      <c r="D13" s="6">
        <v>344</v>
      </c>
      <c r="E13" s="6">
        <v>420</v>
      </c>
      <c r="F13" s="6">
        <v>540</v>
      </c>
      <c r="G13" s="30">
        <f>G12*G11</f>
        <v>60</v>
      </c>
      <c r="H13" s="30">
        <f>H12*H11</f>
        <v>60</v>
      </c>
      <c r="I13" s="30">
        <f t="shared" ref="I13" si="8">I12*I11</f>
        <v>40</v>
      </c>
      <c r="J13" s="38">
        <f t="shared" ref="J13" si="9">J12*J11</f>
        <v>300</v>
      </c>
      <c r="K13" s="6">
        <v>852</v>
      </c>
      <c r="L13" s="6">
        <v>400</v>
      </c>
      <c r="M13" s="6">
        <v>247</v>
      </c>
      <c r="N13" s="6">
        <v>147</v>
      </c>
      <c r="O13" s="6">
        <v>390</v>
      </c>
      <c r="P13" s="82">
        <f>P11*P12</f>
        <v>480</v>
      </c>
      <c r="Q13" s="82">
        <f t="shared" ref="Q13:R13" si="10">Q11*Q12</f>
        <v>960</v>
      </c>
      <c r="R13" s="93">
        <f t="shared" si="10"/>
        <v>360</v>
      </c>
      <c r="S13" s="70"/>
      <c r="T13" s="30"/>
      <c r="U13" s="30">
        <v>1775</v>
      </c>
      <c r="V13" s="70"/>
      <c r="W13" s="30">
        <f>W18</f>
        <v>14000</v>
      </c>
      <c r="X13" s="30">
        <v>1750</v>
      </c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  <c r="AL13" s="33"/>
      <c r="AM13" s="33"/>
      <c r="AN13" s="33"/>
      <c r="AO13" s="33"/>
      <c r="AP13" s="33"/>
      <c r="AQ13" s="33"/>
      <c r="AR13" s="33"/>
      <c r="AS13" s="33"/>
      <c r="AT13" s="33"/>
      <c r="AU13" s="33"/>
      <c r="AV13" s="33"/>
      <c r="AW13" s="33"/>
      <c r="AX13" s="33"/>
      <c r="AY13" s="33"/>
      <c r="AZ13" s="33"/>
      <c r="BA13" s="33"/>
      <c r="BB13" s="33"/>
      <c r="BC13" s="33"/>
      <c r="BD13" s="33"/>
      <c r="BE13" s="33"/>
      <c r="BF13" s="33"/>
      <c r="BG13" s="33"/>
      <c r="BH13" s="33"/>
      <c r="BI13" s="33"/>
      <c r="BJ13" s="33"/>
      <c r="BK13" s="33"/>
      <c r="BL13" s="33"/>
      <c r="BM13" s="33"/>
      <c r="BN13" s="33"/>
      <c r="BO13" s="33"/>
      <c r="BP13" s="33"/>
      <c r="BQ13" s="33"/>
      <c r="BR13" s="33"/>
      <c r="BS13" s="33"/>
      <c r="BT13" s="33"/>
      <c r="BU13" s="33"/>
      <c r="BV13" s="33"/>
      <c r="BW13" s="33"/>
      <c r="BX13" s="33"/>
      <c r="BY13" s="33"/>
      <c r="BZ13" s="33"/>
      <c r="CA13" s="33"/>
      <c r="CB13" s="33"/>
      <c r="CC13" s="33"/>
      <c r="CD13" s="33"/>
      <c r="CE13" s="33"/>
      <c r="CF13" s="33"/>
      <c r="CG13" s="33"/>
      <c r="CH13" s="33"/>
      <c r="CI13" s="33"/>
      <c r="CJ13" s="33"/>
      <c r="CK13" s="33"/>
      <c r="CL13" s="33"/>
      <c r="CM13" s="33"/>
      <c r="CN13" s="33"/>
      <c r="CO13" s="33"/>
      <c r="CP13" s="33"/>
      <c r="CQ13" s="33"/>
      <c r="CR13" s="33"/>
      <c r="CS13" s="33"/>
      <c r="CT13" s="33"/>
      <c r="CU13" s="33"/>
      <c r="CV13" s="33"/>
      <c r="CW13" s="33"/>
      <c r="CX13" s="33"/>
      <c r="CY13" s="33"/>
      <c r="CZ13" s="33"/>
      <c r="DA13" s="33"/>
      <c r="DB13" s="33"/>
      <c r="DC13" s="33"/>
      <c r="DD13" s="33"/>
      <c r="DE13" s="33"/>
      <c r="DF13" s="33"/>
      <c r="DG13" s="33"/>
      <c r="DH13" s="33"/>
      <c r="DI13" s="33"/>
      <c r="DJ13" s="33"/>
      <c r="DK13" s="33"/>
      <c r="DL13" s="33"/>
      <c r="DM13" s="33"/>
      <c r="DN13" s="33"/>
      <c r="DO13" s="33"/>
      <c r="DP13" s="33"/>
      <c r="DQ13" s="33"/>
      <c r="DR13" s="33"/>
      <c r="DS13" s="33"/>
      <c r="DT13" s="33"/>
      <c r="DU13" s="33"/>
      <c r="DV13" s="33"/>
      <c r="DW13" s="33"/>
      <c r="DX13" s="33"/>
      <c r="DY13" s="33"/>
      <c r="DZ13" s="33"/>
      <c r="EA13" s="33"/>
      <c r="EB13" s="33"/>
      <c r="EC13" s="33"/>
    </row>
    <row r="14" spans="1:133" x14ac:dyDescent="0.2">
      <c r="A14" s="13" t="s">
        <v>20</v>
      </c>
      <c r="B14" s="4" t="s">
        <v>5</v>
      </c>
      <c r="C14" s="44">
        <f>C13/(C8/60)/4180</f>
        <v>1.6043203561322847</v>
      </c>
      <c r="D14" s="5">
        <f t="shared" ref="D14:O14" si="11">D13/(D8/60)/4180</f>
        <v>2.146869149157479</v>
      </c>
      <c r="E14" s="5">
        <f t="shared" si="11"/>
        <v>2.6211774495527358</v>
      </c>
      <c r="F14" s="31">
        <f t="shared" si="11"/>
        <v>1.937799043062201</v>
      </c>
      <c r="G14" s="31">
        <f t="shared" si="11"/>
        <v>0.43062200956937802</v>
      </c>
      <c r="H14" s="31">
        <f t="shared" si="11"/>
        <v>0.43062200956937802</v>
      </c>
      <c r="I14" s="131">
        <f t="shared" si="11"/>
        <v>0.28708133971291866</v>
      </c>
      <c r="J14" s="74">
        <f>J13/(J8/60)/4180</f>
        <v>2.1531100478468899</v>
      </c>
      <c r="K14" s="5">
        <f t="shared" si="11"/>
        <v>2.445933014354067</v>
      </c>
      <c r="L14" s="5">
        <f t="shared" si="11"/>
        <v>2.8708133971291865</v>
      </c>
      <c r="M14" s="5">
        <f t="shared" si="11"/>
        <v>0.88636363636363635</v>
      </c>
      <c r="N14" s="5">
        <f t="shared" si="11"/>
        <v>1.0550239234449761</v>
      </c>
      <c r="O14" s="5">
        <f t="shared" si="11"/>
        <v>1.3995215311004785</v>
      </c>
      <c r="P14" s="31">
        <f>P13/(P8/60)/4180</f>
        <v>1.7224880382775121</v>
      </c>
      <c r="Q14" s="31">
        <f>Q13/(Q8/60)/4180</f>
        <v>6.8899521531100483</v>
      </c>
      <c r="R14" s="91">
        <f t="shared" ref="R14" si="12">R13/(R8/60)/4180</f>
        <v>1.2918660287081341</v>
      </c>
      <c r="S14" s="70"/>
      <c r="T14" s="31">
        <f>T13/(T8/60)/4180</f>
        <v>0</v>
      </c>
      <c r="U14" s="31">
        <f>U13/(U8/60)/4180</f>
        <v>2.2349534122387307</v>
      </c>
      <c r="V14" s="70"/>
      <c r="W14" s="31">
        <f>W13/(W8/60)/4180</f>
        <v>2.2034751951649456</v>
      </c>
      <c r="X14" s="31">
        <f>X13/(X8/60)/4180</f>
        <v>2.2034751951649456</v>
      </c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3"/>
      <c r="AL14" s="33"/>
      <c r="AM14" s="33"/>
      <c r="AN14" s="33"/>
      <c r="AO14" s="33"/>
      <c r="AP14" s="33"/>
      <c r="AQ14" s="33"/>
      <c r="AR14" s="33"/>
      <c r="AS14" s="33"/>
      <c r="AT14" s="33"/>
      <c r="AU14" s="33"/>
      <c r="AV14" s="33"/>
      <c r="AW14" s="33"/>
      <c r="AX14" s="33"/>
      <c r="AY14" s="33"/>
      <c r="AZ14" s="33"/>
      <c r="BA14" s="33"/>
      <c r="BB14" s="33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  <c r="BZ14" s="33"/>
      <c r="CA14" s="33"/>
      <c r="CB14" s="33"/>
      <c r="CC14" s="33"/>
      <c r="CD14" s="33"/>
      <c r="CE14" s="33"/>
      <c r="CF14" s="33"/>
      <c r="CG14" s="33"/>
      <c r="CH14" s="33"/>
      <c r="CI14" s="33"/>
      <c r="CJ14" s="33"/>
      <c r="CK14" s="33"/>
      <c r="CL14" s="33"/>
      <c r="CM14" s="33"/>
      <c r="CN14" s="33"/>
      <c r="CO14" s="33"/>
      <c r="CP14" s="33"/>
      <c r="CQ14" s="33"/>
      <c r="CR14" s="33"/>
      <c r="CS14" s="33"/>
      <c r="CT14" s="33"/>
      <c r="CU14" s="33"/>
      <c r="CV14" s="33"/>
      <c r="CW14" s="33"/>
      <c r="CX14" s="33"/>
      <c r="CY14" s="33"/>
      <c r="CZ14" s="33"/>
      <c r="DA14" s="33"/>
      <c r="DB14" s="33"/>
      <c r="DC14" s="33"/>
      <c r="DD14" s="33"/>
      <c r="DE14" s="33"/>
      <c r="DF14" s="33"/>
      <c r="DG14" s="33"/>
      <c r="DH14" s="33"/>
      <c r="DI14" s="33"/>
      <c r="DJ14" s="33"/>
      <c r="DK14" s="33"/>
      <c r="DL14" s="33"/>
      <c r="DM14" s="33"/>
      <c r="DN14" s="33"/>
      <c r="DO14" s="33"/>
      <c r="DP14" s="33"/>
      <c r="DQ14" s="33"/>
      <c r="DR14" s="33"/>
      <c r="DS14" s="33"/>
      <c r="DT14" s="33"/>
      <c r="DU14" s="33"/>
      <c r="DV14" s="33"/>
      <c r="DW14" s="33"/>
      <c r="DX14" s="33"/>
      <c r="DY14" s="33"/>
      <c r="DZ14" s="33"/>
      <c r="EA14" s="33"/>
      <c r="EB14" s="33"/>
      <c r="EC14" s="33"/>
    </row>
    <row r="15" spans="1:133" x14ac:dyDescent="0.2">
      <c r="A15" s="13"/>
      <c r="B15" s="4"/>
      <c r="C15" s="44"/>
      <c r="D15" s="4"/>
      <c r="E15" s="4"/>
      <c r="F15" s="32"/>
      <c r="G15" s="32"/>
      <c r="H15" s="32"/>
      <c r="I15" s="32"/>
      <c r="J15" s="123"/>
      <c r="K15" s="26"/>
      <c r="L15" s="4"/>
      <c r="M15" s="4"/>
      <c r="N15" s="4"/>
      <c r="O15" s="4"/>
      <c r="P15" s="81"/>
      <c r="Q15" s="84"/>
      <c r="R15" s="94"/>
      <c r="S15" s="72"/>
      <c r="T15" s="32"/>
      <c r="U15" s="32"/>
      <c r="V15" s="72"/>
      <c r="W15" s="32"/>
      <c r="X15" s="32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3"/>
      <c r="AY15" s="33"/>
      <c r="AZ15" s="33"/>
      <c r="BA15" s="33"/>
      <c r="BB15" s="33"/>
      <c r="BC15" s="33"/>
      <c r="BD15" s="33"/>
      <c r="BE15" s="33"/>
      <c r="BF15" s="33"/>
      <c r="BG15" s="33"/>
      <c r="BH15" s="33"/>
      <c r="BI15" s="33"/>
      <c r="BJ15" s="33"/>
      <c r="BK15" s="33"/>
      <c r="BL15" s="33"/>
      <c r="BM15" s="33"/>
      <c r="BN15" s="33"/>
      <c r="BO15" s="33"/>
      <c r="BP15" s="33"/>
      <c r="BQ15" s="33"/>
      <c r="BR15" s="33"/>
      <c r="BS15" s="33"/>
      <c r="BT15" s="33"/>
      <c r="BU15" s="33"/>
      <c r="BV15" s="33"/>
      <c r="BW15" s="33"/>
      <c r="BX15" s="33"/>
      <c r="BY15" s="33"/>
      <c r="BZ15" s="33"/>
      <c r="CA15" s="33"/>
      <c r="CB15" s="33"/>
      <c r="CC15" s="33"/>
      <c r="CD15" s="33"/>
      <c r="CE15" s="33"/>
      <c r="CF15" s="33"/>
      <c r="CG15" s="33"/>
      <c r="CH15" s="33"/>
      <c r="CI15" s="33"/>
      <c r="CJ15" s="33"/>
      <c r="CK15" s="33"/>
      <c r="CL15" s="33"/>
      <c r="CM15" s="33"/>
      <c r="CN15" s="33"/>
      <c r="CO15" s="33"/>
      <c r="CP15" s="33"/>
      <c r="CQ15" s="33"/>
      <c r="CR15" s="33"/>
      <c r="CS15" s="33"/>
      <c r="CT15" s="33"/>
      <c r="CU15" s="33"/>
      <c r="CV15" s="33"/>
      <c r="CW15" s="33"/>
      <c r="CX15" s="33"/>
      <c r="CY15" s="33"/>
      <c r="CZ15" s="33"/>
      <c r="DA15" s="33"/>
      <c r="DB15" s="33"/>
      <c r="DC15" s="33"/>
      <c r="DD15" s="33"/>
      <c r="DE15" s="33"/>
      <c r="DF15" s="33"/>
      <c r="DG15" s="33"/>
      <c r="DH15" s="33"/>
      <c r="DI15" s="33"/>
      <c r="DJ15" s="33"/>
      <c r="DK15" s="33"/>
      <c r="DL15" s="33"/>
      <c r="DM15" s="33"/>
      <c r="DN15" s="33"/>
      <c r="DO15" s="33"/>
      <c r="DP15" s="33"/>
      <c r="DQ15" s="33"/>
      <c r="DR15" s="33"/>
      <c r="DS15" s="33"/>
      <c r="DT15" s="33"/>
      <c r="DU15" s="33"/>
      <c r="DV15" s="33"/>
      <c r="DW15" s="33"/>
      <c r="DX15" s="33"/>
      <c r="DY15" s="33"/>
      <c r="DZ15" s="33"/>
      <c r="EA15" s="33"/>
      <c r="EB15" s="33"/>
      <c r="EC15" s="33"/>
    </row>
    <row r="16" spans="1:133" s="40" customFormat="1" x14ac:dyDescent="0.2">
      <c r="A16" s="13" t="s">
        <v>9</v>
      </c>
      <c r="B16" s="4" t="s">
        <v>10</v>
      </c>
      <c r="C16" s="44">
        <v>1</v>
      </c>
      <c r="D16" s="30">
        <f>'Present YE1 '!D16</f>
        <v>9</v>
      </c>
      <c r="E16" s="30">
        <f>'Present YE1 '!E16</f>
        <v>9</v>
      </c>
      <c r="F16" s="30">
        <f>'Present YE1 '!F16</f>
        <v>18</v>
      </c>
      <c r="G16" s="30">
        <f>'Present YE1 '!H16</f>
        <v>6</v>
      </c>
      <c r="H16" s="30">
        <f>'Present YE1 '!I16</f>
        <v>6</v>
      </c>
      <c r="I16" s="30">
        <v>18</v>
      </c>
      <c r="J16" s="30">
        <v>18</v>
      </c>
      <c r="K16" s="30">
        <f>'Present YE1 '!M16</f>
        <v>6</v>
      </c>
      <c r="L16" s="30">
        <f>'Present YE1 '!N16</f>
        <v>12</v>
      </c>
      <c r="M16" s="30">
        <f>'Present YE1 '!O16</f>
        <v>6</v>
      </c>
      <c r="N16" s="30">
        <f>'Present YE1 '!P16</f>
        <v>30</v>
      </c>
      <c r="O16" s="30">
        <f>'Present YE1 '!Q16</f>
        <v>4</v>
      </c>
      <c r="P16" s="81">
        <v>6</v>
      </c>
      <c r="Q16" s="84">
        <v>6</v>
      </c>
      <c r="R16" s="95">
        <v>18</v>
      </c>
      <c r="S16" s="70"/>
      <c r="T16" s="30">
        <v>1</v>
      </c>
      <c r="U16" s="30">
        <v>8</v>
      </c>
      <c r="V16" s="70"/>
      <c r="W16" s="30">
        <v>1</v>
      </c>
      <c r="X16" s="30">
        <v>8</v>
      </c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3"/>
      <c r="AX16" s="33"/>
      <c r="AY16" s="33"/>
      <c r="AZ16" s="33"/>
      <c r="BA16" s="33"/>
      <c r="BB16" s="33"/>
      <c r="BC16" s="33"/>
      <c r="BD16" s="33"/>
      <c r="BE16" s="33"/>
      <c r="BF16" s="33"/>
      <c r="BG16" s="33"/>
      <c r="BH16" s="33"/>
      <c r="BI16" s="33"/>
      <c r="BJ16" s="33"/>
      <c r="BK16" s="33"/>
      <c r="BL16" s="33"/>
      <c r="BM16" s="33"/>
      <c r="BN16" s="33"/>
      <c r="BO16" s="33"/>
      <c r="BP16" s="33"/>
      <c r="BQ16" s="33"/>
      <c r="BR16" s="33"/>
      <c r="BS16" s="33"/>
      <c r="BT16" s="33"/>
      <c r="BU16" s="33"/>
      <c r="BV16" s="33"/>
      <c r="BW16" s="33"/>
      <c r="BX16" s="33"/>
      <c r="BY16" s="33"/>
      <c r="BZ16" s="33"/>
      <c r="CA16" s="33"/>
      <c r="CB16" s="33"/>
      <c r="CC16" s="33"/>
      <c r="CD16" s="33"/>
      <c r="CE16" s="33"/>
      <c r="CF16" s="33"/>
      <c r="CG16" s="33"/>
      <c r="CH16" s="33"/>
      <c r="CI16" s="33"/>
      <c r="CJ16" s="33"/>
      <c r="CK16" s="33"/>
      <c r="CL16" s="33"/>
      <c r="CM16" s="33"/>
      <c r="CN16" s="33"/>
      <c r="CO16" s="33"/>
      <c r="CP16" s="33"/>
      <c r="CQ16" s="33"/>
      <c r="CR16" s="33"/>
      <c r="CS16" s="33"/>
      <c r="CT16" s="33"/>
      <c r="CU16" s="33"/>
      <c r="CV16" s="33"/>
      <c r="CW16" s="33"/>
      <c r="CX16" s="33"/>
      <c r="CY16" s="33"/>
      <c r="CZ16" s="33"/>
      <c r="DA16" s="33"/>
      <c r="DB16" s="33"/>
      <c r="DC16" s="33"/>
      <c r="DD16" s="33"/>
      <c r="DE16" s="33"/>
      <c r="DF16" s="33"/>
      <c r="DG16" s="33"/>
      <c r="DH16" s="33"/>
      <c r="DI16" s="33"/>
      <c r="DJ16" s="33"/>
      <c r="DK16" s="33"/>
      <c r="DL16" s="33"/>
      <c r="DM16" s="33"/>
      <c r="DN16" s="33"/>
      <c r="DO16" s="33"/>
      <c r="DP16" s="33"/>
      <c r="DQ16" s="33"/>
      <c r="DR16" s="33"/>
      <c r="DS16" s="33"/>
      <c r="DT16" s="33"/>
      <c r="DU16" s="33"/>
      <c r="DV16" s="33"/>
      <c r="DW16" s="33"/>
      <c r="DX16" s="33"/>
      <c r="DY16" s="33"/>
      <c r="DZ16" s="33"/>
      <c r="EA16" s="33"/>
      <c r="EB16" s="33"/>
      <c r="EC16" s="33"/>
    </row>
    <row r="17" spans="1:133" x14ac:dyDescent="0.2">
      <c r="A17" s="13" t="s">
        <v>19</v>
      </c>
      <c r="B17" s="4" t="s">
        <v>56</v>
      </c>
      <c r="C17" s="44">
        <f>SUM(D17:Q17)</f>
        <v>399.4</v>
      </c>
      <c r="D17" s="4">
        <f>D16*D8</f>
        <v>20.7</v>
      </c>
      <c r="E17" s="4">
        <f t="shared" ref="E17:X17" si="13">E16*E8</f>
        <v>20.7</v>
      </c>
      <c r="F17" s="32">
        <f t="shared" si="13"/>
        <v>72</v>
      </c>
      <c r="G17" s="32">
        <f t="shared" si="13"/>
        <v>12</v>
      </c>
      <c r="H17" s="32">
        <f t="shared" si="13"/>
        <v>12</v>
      </c>
      <c r="I17" s="32">
        <f>I16*I8</f>
        <v>36</v>
      </c>
      <c r="J17" s="81">
        <f>J16*J8</f>
        <v>36</v>
      </c>
      <c r="K17" s="28">
        <f t="shared" si="13"/>
        <v>30</v>
      </c>
      <c r="L17" s="129">
        <f t="shared" si="13"/>
        <v>24</v>
      </c>
      <c r="M17" s="4">
        <f t="shared" si="13"/>
        <v>24</v>
      </c>
      <c r="N17" s="4">
        <f t="shared" si="13"/>
        <v>60</v>
      </c>
      <c r="O17" s="4">
        <f t="shared" si="13"/>
        <v>16</v>
      </c>
      <c r="P17" s="32">
        <f t="shared" si="13"/>
        <v>24</v>
      </c>
      <c r="Q17" s="32">
        <f t="shared" si="13"/>
        <v>12</v>
      </c>
      <c r="R17" s="95">
        <f>R16*R8</f>
        <v>72</v>
      </c>
      <c r="S17" s="72"/>
      <c r="T17" s="32">
        <f t="shared" si="13"/>
        <v>91.2</v>
      </c>
      <c r="U17" s="32">
        <f t="shared" si="13"/>
        <v>91.2</v>
      </c>
      <c r="V17" s="72"/>
      <c r="W17" s="32">
        <f t="shared" si="13"/>
        <v>91.2</v>
      </c>
      <c r="X17" s="32">
        <f t="shared" si="13"/>
        <v>91.2</v>
      </c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3"/>
      <c r="BA17" s="33"/>
      <c r="BB17" s="33"/>
      <c r="BC17" s="33"/>
      <c r="BD17" s="33"/>
      <c r="BE17" s="33"/>
      <c r="BF17" s="33"/>
      <c r="BG17" s="33"/>
      <c r="BH17" s="33"/>
      <c r="BI17" s="33"/>
      <c r="BJ17" s="33"/>
      <c r="BK17" s="33"/>
      <c r="BL17" s="33"/>
      <c r="BM17" s="33"/>
      <c r="BN17" s="33"/>
      <c r="BO17" s="33"/>
      <c r="BP17" s="33"/>
      <c r="BQ17" s="33"/>
      <c r="BR17" s="33"/>
      <c r="BS17" s="33"/>
      <c r="BT17" s="33"/>
      <c r="BU17" s="33"/>
      <c r="BV17" s="33"/>
      <c r="BW17" s="33"/>
      <c r="BX17" s="33"/>
      <c r="BY17" s="33"/>
      <c r="BZ17" s="33"/>
      <c r="CA17" s="33"/>
      <c r="CB17" s="33"/>
      <c r="CC17" s="33"/>
      <c r="CD17" s="33"/>
      <c r="CE17" s="33"/>
      <c r="CF17" s="33"/>
      <c r="CG17" s="33"/>
      <c r="CH17" s="33"/>
      <c r="CI17" s="33"/>
      <c r="CJ17" s="33"/>
      <c r="CK17" s="33"/>
      <c r="CL17" s="33"/>
      <c r="CM17" s="33"/>
      <c r="CN17" s="33"/>
      <c r="CO17" s="33"/>
      <c r="CP17" s="33"/>
      <c r="CQ17" s="33"/>
      <c r="CR17" s="33"/>
      <c r="CS17" s="33"/>
      <c r="CT17" s="33"/>
      <c r="CU17" s="33"/>
      <c r="CV17" s="33"/>
      <c r="CW17" s="33"/>
      <c r="CX17" s="33"/>
      <c r="CY17" s="33"/>
      <c r="CZ17" s="33"/>
      <c r="DA17" s="33"/>
      <c r="DB17" s="33"/>
      <c r="DC17" s="33"/>
      <c r="DD17" s="33"/>
      <c r="DE17" s="33"/>
      <c r="DF17" s="33"/>
      <c r="DG17" s="33"/>
      <c r="DH17" s="33"/>
      <c r="DI17" s="33"/>
      <c r="DJ17" s="33"/>
      <c r="DK17" s="33"/>
      <c r="DL17" s="33"/>
      <c r="DM17" s="33"/>
      <c r="DN17" s="33"/>
      <c r="DO17" s="33"/>
      <c r="DP17" s="33"/>
      <c r="DQ17" s="33"/>
      <c r="DR17" s="33"/>
      <c r="DS17" s="33"/>
      <c r="DT17" s="33"/>
      <c r="DU17" s="33"/>
      <c r="DV17" s="33"/>
      <c r="DW17" s="33"/>
      <c r="DX17" s="33"/>
      <c r="DY17" s="33"/>
      <c r="DZ17" s="33"/>
      <c r="EA17" s="33"/>
      <c r="EB17" s="33"/>
      <c r="EC17" s="33"/>
    </row>
    <row r="18" spans="1:133" x14ac:dyDescent="0.2">
      <c r="A18" s="13" t="s">
        <v>22</v>
      </c>
      <c r="B18" s="4" t="s">
        <v>8</v>
      </c>
      <c r="C18" s="44">
        <f>SUM(D18:Q18)</f>
        <v>44640</v>
      </c>
      <c r="D18" s="6">
        <f t="shared" ref="D18:K18" si="14">D16*D13</f>
        <v>3096</v>
      </c>
      <c r="E18" s="6">
        <f t="shared" si="14"/>
        <v>3780</v>
      </c>
      <c r="F18" s="30">
        <f t="shared" si="14"/>
        <v>9720</v>
      </c>
      <c r="G18" s="30">
        <f t="shared" si="14"/>
        <v>360</v>
      </c>
      <c r="H18" s="30">
        <f t="shared" si="14"/>
        <v>360</v>
      </c>
      <c r="I18" s="6">
        <f>I16*I13</f>
        <v>720</v>
      </c>
      <c r="J18" s="6">
        <f>J16*J13</f>
        <v>5400</v>
      </c>
      <c r="K18" s="6">
        <f t="shared" si="14"/>
        <v>5112</v>
      </c>
      <c r="L18" s="6"/>
      <c r="M18" s="6">
        <f t="shared" ref="M18:O18" si="15">M16*M13</f>
        <v>1482</v>
      </c>
      <c r="N18" s="6">
        <f t="shared" si="15"/>
        <v>4410</v>
      </c>
      <c r="O18" s="6">
        <f t="shared" si="15"/>
        <v>1560</v>
      </c>
      <c r="P18" s="30">
        <f>P16*P13</f>
        <v>2880</v>
      </c>
      <c r="Q18" s="30">
        <f>Q16*Q13</f>
        <v>5760</v>
      </c>
      <c r="R18" s="89">
        <f t="shared" ref="R18" si="16">R16*R13</f>
        <v>6480</v>
      </c>
      <c r="S18" s="71"/>
      <c r="T18" s="30">
        <f>U18</f>
        <v>14200</v>
      </c>
      <c r="U18" s="30">
        <f>U16*U13</f>
        <v>14200</v>
      </c>
      <c r="V18" s="71"/>
      <c r="W18" s="30">
        <f>X18</f>
        <v>14000</v>
      </c>
      <c r="X18" s="30">
        <f>X16*X13</f>
        <v>14000</v>
      </c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33"/>
      <c r="AS18" s="33"/>
      <c r="AT18" s="33"/>
      <c r="AU18" s="33"/>
      <c r="AV18" s="33"/>
      <c r="AW18" s="33"/>
      <c r="AX18" s="33"/>
      <c r="AY18" s="33"/>
      <c r="AZ18" s="33"/>
      <c r="BA18" s="33"/>
      <c r="BB18" s="33"/>
      <c r="BC18" s="33"/>
      <c r="BD18" s="33"/>
      <c r="BE18" s="33"/>
      <c r="BF18" s="33"/>
      <c r="BG18" s="33"/>
      <c r="BH18" s="33"/>
      <c r="BI18" s="33"/>
      <c r="BJ18" s="33"/>
      <c r="BK18" s="33"/>
      <c r="BL18" s="33"/>
      <c r="BM18" s="33"/>
      <c r="BN18" s="33"/>
      <c r="BO18" s="33"/>
      <c r="BP18" s="33"/>
      <c r="BQ18" s="33"/>
      <c r="BR18" s="33"/>
      <c r="BS18" s="33"/>
      <c r="BT18" s="33"/>
      <c r="BU18" s="33"/>
      <c r="BV18" s="33"/>
      <c r="BW18" s="33"/>
      <c r="BX18" s="33"/>
      <c r="BY18" s="33"/>
      <c r="BZ18" s="33"/>
      <c r="CA18" s="33"/>
      <c r="CB18" s="33"/>
      <c r="CC18" s="33"/>
      <c r="CD18" s="33"/>
      <c r="CE18" s="33"/>
      <c r="CF18" s="33"/>
      <c r="CG18" s="33"/>
      <c r="CH18" s="33"/>
      <c r="CI18" s="33"/>
      <c r="CJ18" s="33"/>
      <c r="CK18" s="33"/>
      <c r="CL18" s="33"/>
      <c r="CM18" s="33"/>
      <c r="CN18" s="33"/>
      <c r="CO18" s="33"/>
      <c r="CP18" s="33"/>
      <c r="CQ18" s="33"/>
      <c r="CR18" s="33"/>
      <c r="CS18" s="33"/>
      <c r="CT18" s="33"/>
      <c r="CU18" s="33"/>
      <c r="CV18" s="33"/>
      <c r="CW18" s="33"/>
      <c r="CX18" s="33"/>
      <c r="CY18" s="33"/>
      <c r="CZ18" s="33"/>
      <c r="DA18" s="33"/>
      <c r="DB18" s="33"/>
      <c r="DC18" s="33"/>
      <c r="DD18" s="33"/>
      <c r="DE18" s="33"/>
      <c r="DF18" s="33"/>
      <c r="DG18" s="33"/>
      <c r="DH18" s="33"/>
      <c r="DI18" s="33"/>
      <c r="DJ18" s="33"/>
      <c r="DK18" s="33"/>
      <c r="DL18" s="33"/>
      <c r="DM18" s="33"/>
      <c r="DN18" s="33"/>
      <c r="DO18" s="33"/>
      <c r="DP18" s="33"/>
      <c r="DQ18" s="33"/>
      <c r="DR18" s="33"/>
      <c r="DS18" s="33"/>
      <c r="DT18" s="33"/>
      <c r="DU18" s="33"/>
      <c r="DV18" s="33"/>
      <c r="DW18" s="33"/>
      <c r="DX18" s="33"/>
      <c r="DY18" s="33"/>
      <c r="DZ18" s="33"/>
      <c r="EA18" s="33"/>
      <c r="EB18" s="33"/>
      <c r="EC18" s="33"/>
    </row>
    <row r="19" spans="1:133" x14ac:dyDescent="0.2">
      <c r="A19" s="13" t="s">
        <v>24</v>
      </c>
      <c r="B19" s="4" t="s">
        <v>8</v>
      </c>
      <c r="C19" s="45"/>
      <c r="D19" s="4"/>
      <c r="E19" s="4"/>
      <c r="F19" s="4"/>
      <c r="G19" s="32"/>
      <c r="H19" s="32"/>
      <c r="I19" s="32"/>
      <c r="J19" s="4"/>
      <c r="K19" s="3"/>
      <c r="L19" s="3">
        <f>L16*L13</f>
        <v>4800</v>
      </c>
      <c r="M19" s="3"/>
      <c r="N19" s="3"/>
      <c r="O19" s="3"/>
      <c r="P19" s="28"/>
      <c r="Q19" s="68"/>
      <c r="R19" s="94"/>
      <c r="S19" s="59"/>
      <c r="T19" s="32"/>
      <c r="U19" s="32"/>
      <c r="V19" s="59"/>
      <c r="W19" s="32"/>
      <c r="X19" s="32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33"/>
      <c r="AM19" s="33"/>
      <c r="AN19" s="33"/>
      <c r="AO19" s="33"/>
      <c r="AP19" s="33"/>
      <c r="AQ19" s="33"/>
      <c r="AR19" s="33"/>
      <c r="AS19" s="33"/>
      <c r="AT19" s="33"/>
      <c r="AU19" s="33"/>
      <c r="AV19" s="33"/>
      <c r="AW19" s="33"/>
      <c r="AX19" s="33"/>
      <c r="AY19" s="33"/>
      <c r="AZ19" s="33"/>
      <c r="BA19" s="33"/>
      <c r="BB19" s="33"/>
      <c r="BC19" s="33"/>
      <c r="BD19" s="33"/>
      <c r="BE19" s="33"/>
      <c r="BF19" s="33"/>
      <c r="BG19" s="33"/>
      <c r="BH19" s="33"/>
      <c r="BI19" s="33"/>
      <c r="BJ19" s="33"/>
      <c r="BK19" s="33"/>
      <c r="BL19" s="33"/>
      <c r="BM19" s="33"/>
      <c r="BN19" s="33"/>
      <c r="BO19" s="33"/>
      <c r="BP19" s="33"/>
      <c r="BQ19" s="33"/>
      <c r="BR19" s="33"/>
      <c r="BS19" s="33"/>
      <c r="BT19" s="33"/>
      <c r="BU19" s="33"/>
      <c r="BV19" s="33"/>
      <c r="BW19" s="33"/>
      <c r="BX19" s="33"/>
      <c r="BY19" s="33"/>
      <c r="BZ19" s="33"/>
      <c r="CA19" s="33"/>
      <c r="CB19" s="33"/>
      <c r="CC19" s="33"/>
      <c r="CD19" s="33"/>
      <c r="CE19" s="33"/>
      <c r="CF19" s="33"/>
      <c r="CG19" s="33"/>
      <c r="CH19" s="33"/>
      <c r="CI19" s="33"/>
      <c r="CJ19" s="33"/>
      <c r="CK19" s="33"/>
      <c r="CL19" s="33"/>
      <c r="CM19" s="33"/>
      <c r="CN19" s="33"/>
      <c r="CO19" s="33"/>
      <c r="CP19" s="33"/>
      <c r="CQ19" s="33"/>
      <c r="CR19" s="33"/>
      <c r="CS19" s="33"/>
      <c r="CT19" s="33"/>
      <c r="CU19" s="33"/>
      <c r="CV19" s="33"/>
      <c r="CW19" s="33"/>
      <c r="CX19" s="33"/>
      <c r="CY19" s="33"/>
      <c r="CZ19" s="33"/>
      <c r="DA19" s="33"/>
      <c r="DB19" s="33"/>
      <c r="DC19" s="33"/>
      <c r="DD19" s="33"/>
      <c r="DE19" s="33"/>
      <c r="DF19" s="33"/>
      <c r="DG19" s="33"/>
      <c r="DH19" s="33"/>
      <c r="DI19" s="33"/>
      <c r="DJ19" s="33"/>
      <c r="DK19" s="33"/>
      <c r="DL19" s="33"/>
      <c r="DM19" s="33"/>
      <c r="DN19" s="33"/>
      <c r="DO19" s="33"/>
      <c r="DP19" s="33"/>
      <c r="DQ19" s="33"/>
      <c r="DR19" s="33"/>
      <c r="DS19" s="33"/>
      <c r="DT19" s="33"/>
      <c r="DU19" s="33"/>
      <c r="DV19" s="33"/>
      <c r="DW19" s="33"/>
      <c r="DX19" s="33"/>
      <c r="DY19" s="33"/>
      <c r="DZ19" s="33"/>
      <c r="EA19" s="33"/>
      <c r="EB19" s="33"/>
      <c r="EC19" s="33"/>
    </row>
    <row r="20" spans="1:133" x14ac:dyDescent="0.2">
      <c r="A20" s="13"/>
      <c r="B20" s="4"/>
      <c r="C20" s="45"/>
      <c r="D20" s="4"/>
      <c r="E20" s="4"/>
      <c r="F20" s="4"/>
      <c r="G20" s="4"/>
      <c r="H20" s="4"/>
      <c r="I20" s="4"/>
      <c r="J20" s="4"/>
      <c r="K20" s="3"/>
      <c r="L20" s="3"/>
      <c r="M20" s="3"/>
      <c r="N20" s="3"/>
      <c r="O20" s="3"/>
      <c r="P20" s="28"/>
      <c r="Q20" s="68"/>
      <c r="R20" s="94"/>
      <c r="S20" s="59"/>
      <c r="T20" s="32"/>
      <c r="U20" s="32"/>
      <c r="V20" s="59"/>
      <c r="W20" s="32"/>
      <c r="X20" s="32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  <c r="AQ20" s="33"/>
      <c r="AR20" s="33"/>
      <c r="AS20" s="33"/>
      <c r="AT20" s="33"/>
      <c r="AU20" s="33"/>
      <c r="AV20" s="33"/>
      <c r="AW20" s="33"/>
      <c r="AX20" s="33"/>
      <c r="AY20" s="33"/>
      <c r="AZ20" s="33"/>
      <c r="BA20" s="33"/>
      <c r="BB20" s="33"/>
      <c r="BC20" s="33"/>
      <c r="BD20" s="33"/>
      <c r="BE20" s="33"/>
      <c r="BF20" s="33"/>
      <c r="BG20" s="33"/>
      <c r="BH20" s="33"/>
      <c r="BI20" s="33"/>
      <c r="BJ20" s="33"/>
      <c r="BK20" s="33"/>
      <c r="BL20" s="33"/>
      <c r="BM20" s="33"/>
      <c r="BN20" s="33"/>
      <c r="BO20" s="33"/>
      <c r="BP20" s="33"/>
      <c r="BQ20" s="33"/>
      <c r="BR20" s="33"/>
      <c r="BS20" s="33"/>
      <c r="BT20" s="33"/>
      <c r="BU20" s="33"/>
      <c r="BV20" s="33"/>
      <c r="BW20" s="33"/>
      <c r="BX20" s="33"/>
      <c r="BY20" s="33"/>
      <c r="BZ20" s="33"/>
      <c r="CA20" s="33"/>
      <c r="CB20" s="33"/>
      <c r="CC20" s="33"/>
      <c r="CD20" s="33"/>
      <c r="CE20" s="33"/>
      <c r="CF20" s="33"/>
      <c r="CG20" s="33"/>
      <c r="CH20" s="33"/>
      <c r="CI20" s="33"/>
      <c r="CJ20" s="33"/>
      <c r="CK20" s="33"/>
      <c r="CL20" s="33"/>
      <c r="CM20" s="33"/>
      <c r="CN20" s="33"/>
      <c r="CO20" s="33"/>
      <c r="CP20" s="33"/>
      <c r="CQ20" s="33"/>
      <c r="CR20" s="33"/>
      <c r="CS20" s="33"/>
      <c r="CT20" s="33"/>
      <c r="CU20" s="33"/>
      <c r="CV20" s="33"/>
      <c r="CW20" s="33"/>
      <c r="CX20" s="33"/>
      <c r="CY20" s="33"/>
      <c r="CZ20" s="33"/>
      <c r="DA20" s="33"/>
      <c r="DB20" s="33"/>
      <c r="DC20" s="33"/>
      <c r="DD20" s="33"/>
      <c r="DE20" s="33"/>
      <c r="DF20" s="33"/>
      <c r="DG20" s="33"/>
      <c r="DH20" s="33"/>
      <c r="DI20" s="33"/>
      <c r="DJ20" s="33"/>
      <c r="DK20" s="33"/>
      <c r="DL20" s="33"/>
      <c r="DM20" s="33"/>
      <c r="DN20" s="33"/>
      <c r="DO20" s="33"/>
      <c r="DP20" s="33"/>
      <c r="DQ20" s="33"/>
      <c r="DR20" s="33"/>
      <c r="DS20" s="33"/>
      <c r="DT20" s="33"/>
      <c r="DU20" s="33"/>
      <c r="DV20" s="33"/>
      <c r="DW20" s="33"/>
      <c r="DX20" s="33"/>
      <c r="DY20" s="33"/>
      <c r="DZ20" s="33"/>
      <c r="EA20" s="33"/>
      <c r="EB20" s="33"/>
      <c r="EC20" s="33"/>
    </row>
    <row r="21" spans="1:133" x14ac:dyDescent="0.2">
      <c r="A21" s="13" t="s">
        <v>15</v>
      </c>
      <c r="B21" s="4" t="s">
        <v>0</v>
      </c>
      <c r="C21" s="45"/>
      <c r="D21" s="4"/>
      <c r="E21" s="4"/>
      <c r="F21" s="4"/>
      <c r="G21" s="4"/>
      <c r="H21" s="4"/>
      <c r="I21" s="4"/>
      <c r="J21" s="4"/>
      <c r="K21" s="4" t="s">
        <v>44</v>
      </c>
      <c r="L21" s="4"/>
      <c r="M21" s="4"/>
      <c r="N21" s="4"/>
      <c r="O21" s="4"/>
      <c r="P21" s="28"/>
      <c r="Q21" s="68" t="s">
        <v>35</v>
      </c>
      <c r="R21" s="94"/>
      <c r="S21" s="72"/>
      <c r="T21" s="32"/>
      <c r="U21" s="32"/>
      <c r="V21" s="72"/>
      <c r="W21" s="32"/>
      <c r="X21" s="32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3"/>
      <c r="BC21" s="33"/>
      <c r="BD21" s="33"/>
      <c r="BE21" s="33"/>
      <c r="BF21" s="33"/>
      <c r="BG21" s="33"/>
      <c r="BH21" s="33"/>
      <c r="BI21" s="33"/>
      <c r="BJ21" s="33"/>
      <c r="BK21" s="33"/>
      <c r="BL21" s="33"/>
      <c r="BM21" s="33"/>
      <c r="BN21" s="33"/>
      <c r="BO21" s="33"/>
      <c r="BP21" s="33"/>
      <c r="BQ21" s="33"/>
      <c r="BR21" s="33"/>
      <c r="BS21" s="33"/>
      <c r="BT21" s="33"/>
      <c r="BU21" s="33"/>
      <c r="BV21" s="33"/>
      <c r="BW21" s="33"/>
      <c r="BX21" s="33"/>
      <c r="BY21" s="33"/>
      <c r="BZ21" s="33"/>
      <c r="CA21" s="33"/>
      <c r="CB21" s="33"/>
      <c r="CC21" s="33"/>
      <c r="CD21" s="33"/>
      <c r="CE21" s="33"/>
      <c r="CF21" s="33"/>
      <c r="CG21" s="33"/>
      <c r="CH21" s="33"/>
      <c r="CI21" s="33"/>
      <c r="CJ21" s="33"/>
      <c r="CK21" s="33"/>
      <c r="CL21" s="33"/>
      <c r="CM21" s="33"/>
      <c r="CN21" s="33"/>
      <c r="CO21" s="33"/>
      <c r="CP21" s="33"/>
      <c r="CQ21" s="33"/>
      <c r="CR21" s="33"/>
      <c r="CS21" s="33"/>
      <c r="CT21" s="33"/>
      <c r="CU21" s="33"/>
      <c r="CV21" s="33"/>
      <c r="CW21" s="33"/>
      <c r="CX21" s="33"/>
      <c r="CY21" s="33"/>
      <c r="CZ21" s="33"/>
      <c r="DA21" s="33"/>
      <c r="DB21" s="33"/>
      <c r="DC21" s="33"/>
      <c r="DD21" s="33"/>
      <c r="DE21" s="33"/>
      <c r="DF21" s="33"/>
      <c r="DG21" s="33"/>
      <c r="DH21" s="33"/>
      <c r="DI21" s="33"/>
      <c r="DJ21" s="33"/>
      <c r="DK21" s="33"/>
      <c r="DL21" s="33"/>
      <c r="DM21" s="33"/>
      <c r="DN21" s="33"/>
      <c r="DO21" s="33"/>
      <c r="DP21" s="33"/>
      <c r="DQ21" s="33"/>
      <c r="DR21" s="33"/>
      <c r="DS21" s="33"/>
      <c r="DT21" s="33"/>
      <c r="DU21" s="33"/>
      <c r="DV21" s="33"/>
      <c r="DW21" s="33"/>
      <c r="DX21" s="33"/>
      <c r="DY21" s="33"/>
      <c r="DZ21" s="33"/>
      <c r="EA21" s="33"/>
      <c r="EB21" s="33"/>
      <c r="EC21" s="33"/>
    </row>
    <row r="22" spans="1:133" x14ac:dyDescent="0.2">
      <c r="A22" s="12"/>
      <c r="B22" s="10"/>
      <c r="C22" s="10"/>
      <c r="D22" s="10"/>
      <c r="E22" s="10"/>
      <c r="F22" s="10"/>
      <c r="G22" s="10"/>
      <c r="H22" s="10"/>
      <c r="I22" s="10"/>
      <c r="J22" s="10"/>
      <c r="K22" s="12"/>
      <c r="L22" s="12"/>
      <c r="M22" s="12"/>
      <c r="N22" s="12"/>
      <c r="O22" s="12"/>
      <c r="P22" s="2"/>
      <c r="Q22" s="2"/>
      <c r="R22" s="96"/>
      <c r="S22" s="12"/>
      <c r="T22" s="10"/>
      <c r="U22" s="10"/>
      <c r="V22" s="12"/>
      <c r="W22" s="10"/>
      <c r="X22" s="10"/>
    </row>
    <row r="23" spans="1:133" x14ac:dyDescent="0.2">
      <c r="A23" s="35" t="s">
        <v>72</v>
      </c>
      <c r="B23" s="33"/>
      <c r="C23" s="33"/>
      <c r="P23" s="2"/>
      <c r="Q23" s="2"/>
      <c r="R23" s="96"/>
    </row>
    <row r="24" spans="1:133" x14ac:dyDescent="0.2">
      <c r="A24" s="16" t="s">
        <v>49</v>
      </c>
      <c r="B24" s="17" t="s">
        <v>7</v>
      </c>
      <c r="C24" s="18">
        <f>C8</f>
        <v>399.4</v>
      </c>
      <c r="D24" s="2"/>
      <c r="E24" s="2"/>
      <c r="F24" s="2"/>
      <c r="G24" s="2"/>
      <c r="H24" s="2"/>
      <c r="I24" s="2"/>
      <c r="J24" s="2"/>
      <c r="R24" s="96"/>
      <c r="T24" s="2"/>
      <c r="U24" s="2"/>
      <c r="W24" s="2"/>
      <c r="X24" s="2"/>
    </row>
    <row r="25" spans="1:133" x14ac:dyDescent="0.2">
      <c r="A25" s="16" t="s">
        <v>23</v>
      </c>
      <c r="B25" s="17" t="s">
        <v>94</v>
      </c>
      <c r="C25" s="18">
        <f>C18/1000</f>
        <v>44.64</v>
      </c>
      <c r="D25" s="2"/>
      <c r="E25" s="2"/>
      <c r="F25" s="2"/>
      <c r="G25" s="2"/>
      <c r="H25" s="2"/>
      <c r="I25" s="2"/>
      <c r="J25" s="2"/>
      <c r="P25" s="2"/>
      <c r="Q25" s="2"/>
      <c r="R25" s="96"/>
      <c r="T25" s="2"/>
      <c r="U25" s="2"/>
      <c r="W25" s="2"/>
      <c r="X25" s="2"/>
    </row>
    <row r="26" spans="1:133" x14ac:dyDescent="0.2">
      <c r="A26" s="16" t="s">
        <v>21</v>
      </c>
      <c r="B26" s="17" t="s">
        <v>5</v>
      </c>
      <c r="C26" s="19">
        <f>C25/(C24/60)/4.18</f>
        <v>1.6043203561322847</v>
      </c>
      <c r="D26" s="2"/>
      <c r="E26" s="2"/>
      <c r="F26" s="2"/>
      <c r="G26" s="2"/>
      <c r="H26" s="2"/>
      <c r="I26" s="2"/>
      <c r="J26" s="2"/>
      <c r="T26" s="2"/>
      <c r="U26" s="2"/>
      <c r="W26" s="2"/>
      <c r="X26" s="2"/>
    </row>
    <row r="27" spans="1:133" ht="18" x14ac:dyDescent="0.25">
      <c r="A27" s="20"/>
      <c r="U27" s="2"/>
      <c r="W27" s="2"/>
      <c r="X27" s="2"/>
    </row>
    <row r="28" spans="1:133" x14ac:dyDescent="0.2">
      <c r="A28" s="35" t="s">
        <v>73</v>
      </c>
      <c r="B28" s="33"/>
      <c r="C28" s="33"/>
    </row>
    <row r="29" spans="1:133" x14ac:dyDescent="0.2">
      <c r="A29" s="52" t="s">
        <v>50</v>
      </c>
      <c r="B29" s="53" t="s">
        <v>7</v>
      </c>
      <c r="C29" s="54">
        <f>T8+W8</f>
        <v>182.4</v>
      </c>
      <c r="D29" t="s">
        <v>57</v>
      </c>
      <c r="V29" s="2"/>
      <c r="W29" s="2"/>
    </row>
    <row r="30" spans="1:133" x14ac:dyDescent="0.2">
      <c r="A30" s="52" t="s">
        <v>23</v>
      </c>
      <c r="B30" s="53" t="s">
        <v>8</v>
      </c>
      <c r="C30" s="54">
        <f>T18+W18</f>
        <v>28200</v>
      </c>
      <c r="D30" t="s">
        <v>58</v>
      </c>
    </row>
    <row r="31" spans="1:133" x14ac:dyDescent="0.2">
      <c r="A31" s="52" t="s">
        <v>21</v>
      </c>
      <c r="B31" s="53" t="s">
        <v>5</v>
      </c>
      <c r="C31" s="55">
        <f>C30/(C29/60)/4180</f>
        <v>2.2192143037018379</v>
      </c>
    </row>
    <row r="35" spans="1:1" x14ac:dyDescent="0.2">
      <c r="A35" s="40" t="s">
        <v>113</v>
      </c>
    </row>
    <row r="36" spans="1:1" x14ac:dyDescent="0.2">
      <c r="A36" t="s">
        <v>114</v>
      </c>
    </row>
    <row r="37" spans="1:1" x14ac:dyDescent="0.2">
      <c r="A37" t="s">
        <v>115</v>
      </c>
    </row>
    <row r="38" spans="1:1" x14ac:dyDescent="0.2">
      <c r="A38" t="s">
        <v>116</v>
      </c>
    </row>
    <row r="39" spans="1:1" x14ac:dyDescent="0.2">
      <c r="A39" t="s">
        <v>127</v>
      </c>
    </row>
  </sheetData>
  <mergeCells count="2">
    <mergeCell ref="B2:O2"/>
    <mergeCell ref="T2:X2"/>
  </mergeCells>
  <pageMargins left="0.75" right="0.75" top="1" bottom="1" header="0.3" footer="0.3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C35"/>
  <sheetViews>
    <sheetView zoomScale="120" zoomScaleNormal="120" workbookViewId="0">
      <selection activeCell="Q18" sqref="Q18"/>
    </sheetView>
  </sheetViews>
  <sheetFormatPr defaultColWidth="8.85546875" defaultRowHeight="12.75" x14ac:dyDescent="0.2"/>
  <cols>
    <col min="1" max="1" width="28.28515625" customWidth="1"/>
    <col min="2" max="2" width="7.7109375" customWidth="1"/>
    <col min="3" max="3" width="8.7109375" customWidth="1"/>
    <col min="4" max="10" width="7.7109375" customWidth="1"/>
    <col min="11" max="11" width="5.7109375" style="97" customWidth="1"/>
    <col min="12" max="12" width="10.28515625" style="97" bestFit="1" customWidth="1"/>
    <col min="13" max="14" width="7.42578125" style="97" customWidth="1"/>
    <col min="15" max="15" width="8.42578125" style="97" customWidth="1"/>
    <col min="16" max="17" width="7.7109375" customWidth="1"/>
    <col min="18" max="18" width="8.42578125" customWidth="1"/>
    <col min="19" max="19" width="2.7109375" customWidth="1"/>
    <col min="20" max="21" width="7.7109375" customWidth="1"/>
    <col min="22" max="22" width="2.7109375" customWidth="1"/>
    <col min="23" max="23" width="8" customWidth="1"/>
    <col min="24" max="24" width="7.7109375" customWidth="1"/>
  </cols>
  <sheetData>
    <row r="1" spans="1:133" ht="18" x14ac:dyDescent="0.25">
      <c r="A1" s="20" t="s">
        <v>84</v>
      </c>
      <c r="M1" s="97" t="s">
        <v>97</v>
      </c>
      <c r="P1" t="s">
        <v>76</v>
      </c>
      <c r="Q1" t="s">
        <v>81</v>
      </c>
      <c r="R1" t="s">
        <v>81</v>
      </c>
    </row>
    <row r="2" spans="1:133" x14ac:dyDescent="0.2">
      <c r="B2" s="36" t="s">
        <v>62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T2" s="124" t="s">
        <v>63</v>
      </c>
      <c r="U2" s="124"/>
      <c r="V2" s="124"/>
      <c r="W2" s="124"/>
      <c r="X2" s="124"/>
    </row>
    <row r="3" spans="1:133" ht="76.5" x14ac:dyDescent="0.2">
      <c r="A3" s="11"/>
      <c r="B3" s="14" t="s">
        <v>3</v>
      </c>
      <c r="C3" s="47" t="s">
        <v>71</v>
      </c>
      <c r="D3" s="14" t="s">
        <v>45</v>
      </c>
      <c r="E3" s="14" t="s">
        <v>46</v>
      </c>
      <c r="F3" s="14" t="s">
        <v>30</v>
      </c>
      <c r="G3" s="14" t="s">
        <v>47</v>
      </c>
      <c r="H3" s="14" t="s">
        <v>48</v>
      </c>
      <c r="I3" s="14" t="s">
        <v>31</v>
      </c>
      <c r="J3" s="14" t="s">
        <v>13</v>
      </c>
      <c r="K3" s="98" t="s">
        <v>123</v>
      </c>
      <c r="L3" s="98" t="s">
        <v>59</v>
      </c>
      <c r="M3" s="99" t="s">
        <v>121</v>
      </c>
      <c r="N3" s="99" t="s">
        <v>122</v>
      </c>
      <c r="O3" s="99" t="s">
        <v>51</v>
      </c>
      <c r="P3" s="14" t="s">
        <v>77</v>
      </c>
      <c r="Q3" s="14" t="s">
        <v>78</v>
      </c>
      <c r="R3" s="69" t="s">
        <v>79</v>
      </c>
      <c r="S3" s="7"/>
      <c r="T3" s="14" t="s">
        <v>28</v>
      </c>
      <c r="U3" s="51" t="s">
        <v>18</v>
      </c>
      <c r="V3" s="7"/>
      <c r="W3" s="14" t="s">
        <v>29</v>
      </c>
      <c r="X3" s="51" t="s">
        <v>18</v>
      </c>
    </row>
    <row r="4" spans="1:133" x14ac:dyDescent="0.2">
      <c r="A4" s="13" t="s">
        <v>1</v>
      </c>
      <c r="B4" s="4" t="s">
        <v>6</v>
      </c>
      <c r="C4" s="43">
        <v>60.32</v>
      </c>
      <c r="D4" s="5">
        <v>9.5</v>
      </c>
      <c r="E4" s="5">
        <v>9.5</v>
      </c>
      <c r="F4" s="5">
        <v>9.5</v>
      </c>
      <c r="G4" s="5">
        <v>8</v>
      </c>
      <c r="H4" s="5">
        <v>8</v>
      </c>
      <c r="I4" s="5">
        <v>8</v>
      </c>
      <c r="J4" s="5">
        <v>12.7</v>
      </c>
      <c r="K4" s="5">
        <v>8</v>
      </c>
      <c r="L4" s="100">
        <v>12.7</v>
      </c>
      <c r="M4" s="100">
        <v>10</v>
      </c>
      <c r="N4" s="100">
        <v>10</v>
      </c>
      <c r="O4" s="100">
        <v>10</v>
      </c>
      <c r="P4" s="5">
        <v>8</v>
      </c>
      <c r="Q4" s="5">
        <v>8</v>
      </c>
      <c r="R4" s="80">
        <v>8</v>
      </c>
      <c r="S4" s="8"/>
      <c r="T4" s="5">
        <v>48.26</v>
      </c>
      <c r="U4" s="5">
        <v>33.700000000000003</v>
      </c>
      <c r="V4" s="8"/>
      <c r="W4" s="5">
        <v>48.26</v>
      </c>
      <c r="X4" s="5">
        <v>33.700000000000003</v>
      </c>
    </row>
    <row r="5" spans="1:133" x14ac:dyDescent="0.2">
      <c r="A5" s="13" t="s">
        <v>2</v>
      </c>
      <c r="B5" s="4" t="s">
        <v>6</v>
      </c>
      <c r="C5" s="43">
        <v>1.65</v>
      </c>
      <c r="D5" s="5">
        <v>0.76</v>
      </c>
      <c r="E5" s="5">
        <v>0.76</v>
      </c>
      <c r="F5" s="5">
        <v>0.76</v>
      </c>
      <c r="G5" s="5">
        <v>1</v>
      </c>
      <c r="H5" s="5">
        <v>1</v>
      </c>
      <c r="I5" s="5">
        <v>1</v>
      </c>
      <c r="J5" s="5">
        <v>1.24</v>
      </c>
      <c r="K5" s="5">
        <v>1</v>
      </c>
      <c r="L5" s="100">
        <v>1.24</v>
      </c>
      <c r="M5" s="100">
        <v>1</v>
      </c>
      <c r="N5" s="100">
        <v>1</v>
      </c>
      <c r="O5" s="100">
        <v>1</v>
      </c>
      <c r="P5" s="5">
        <v>1</v>
      </c>
      <c r="Q5" s="5">
        <v>1</v>
      </c>
      <c r="R5" s="80">
        <v>1</v>
      </c>
      <c r="S5" s="8"/>
      <c r="T5" s="5">
        <v>1.65</v>
      </c>
      <c r="U5" s="5">
        <v>3.2</v>
      </c>
      <c r="V5" s="8"/>
      <c r="W5" s="5">
        <v>1.65</v>
      </c>
      <c r="X5" s="5">
        <v>3.2</v>
      </c>
    </row>
    <row r="6" spans="1:133" x14ac:dyDescent="0.2">
      <c r="A6" s="13" t="s">
        <v>25</v>
      </c>
      <c r="B6" s="4" t="s">
        <v>6</v>
      </c>
      <c r="C6" s="43">
        <f t="shared" ref="C6:O6" si="0">C4-(2*C5)</f>
        <v>57.02</v>
      </c>
      <c r="D6" s="5">
        <f t="shared" si="0"/>
        <v>7.98</v>
      </c>
      <c r="E6" s="5">
        <f t="shared" si="0"/>
        <v>7.98</v>
      </c>
      <c r="F6" s="5">
        <f t="shared" si="0"/>
        <v>7.98</v>
      </c>
      <c r="G6" s="5">
        <f t="shared" si="0"/>
        <v>6</v>
      </c>
      <c r="H6" s="5">
        <f t="shared" si="0"/>
        <v>6</v>
      </c>
      <c r="I6" s="5">
        <f t="shared" si="0"/>
        <v>6</v>
      </c>
      <c r="J6" s="5">
        <f>J4-(2*J5)</f>
        <v>10.219999999999999</v>
      </c>
      <c r="K6" s="5">
        <f t="shared" ref="K6" si="1">K4-(2*K5)</f>
        <v>6</v>
      </c>
      <c r="L6" s="100">
        <f t="shared" si="0"/>
        <v>10.219999999999999</v>
      </c>
      <c r="M6" s="100">
        <f t="shared" si="0"/>
        <v>8</v>
      </c>
      <c r="N6" s="100">
        <f t="shared" si="0"/>
        <v>8</v>
      </c>
      <c r="O6" s="100">
        <f t="shared" si="0"/>
        <v>8</v>
      </c>
      <c r="P6" s="5">
        <f>P4-2*P5</f>
        <v>6</v>
      </c>
      <c r="Q6" s="5">
        <f>Q4-2*Q5</f>
        <v>6</v>
      </c>
      <c r="R6" s="80">
        <f>R4-2*R5</f>
        <v>6</v>
      </c>
      <c r="S6" s="70"/>
      <c r="T6" s="31">
        <f>T4-(2*T5)</f>
        <v>44.96</v>
      </c>
      <c r="U6" s="31">
        <f>U4-(2*U5)</f>
        <v>27.300000000000004</v>
      </c>
      <c r="V6" s="70"/>
      <c r="W6" s="31">
        <f>W4-(2*W5)</f>
        <v>44.96</v>
      </c>
      <c r="X6" s="31">
        <f>X4-(2*X5)</f>
        <v>27.300000000000004</v>
      </c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33"/>
      <c r="AK6" s="33"/>
      <c r="AL6" s="33"/>
      <c r="AM6" s="33"/>
      <c r="AN6" s="33"/>
      <c r="AO6" s="33"/>
      <c r="AP6" s="33"/>
      <c r="AQ6" s="33"/>
      <c r="AR6" s="33"/>
      <c r="AS6" s="33"/>
      <c r="AT6" s="33"/>
      <c r="AU6" s="33"/>
      <c r="AV6" s="33"/>
      <c r="AW6" s="33"/>
      <c r="AX6" s="33"/>
      <c r="AY6" s="33"/>
      <c r="AZ6" s="33"/>
      <c r="BA6" s="33"/>
      <c r="BB6" s="33"/>
      <c r="BC6" s="33"/>
      <c r="BD6" s="33"/>
      <c r="BE6" s="33"/>
      <c r="BF6" s="33"/>
      <c r="BG6" s="33"/>
      <c r="BH6" s="33"/>
      <c r="BI6" s="33"/>
      <c r="BJ6" s="33"/>
      <c r="BK6" s="33"/>
      <c r="BL6" s="33"/>
      <c r="BM6" s="33"/>
      <c r="BN6" s="33"/>
      <c r="BO6" s="33"/>
      <c r="BP6" s="33"/>
      <c r="BQ6" s="33"/>
      <c r="BR6" s="33"/>
      <c r="BS6" s="33"/>
      <c r="BT6" s="33"/>
      <c r="BU6" s="33"/>
      <c r="BV6" s="33"/>
      <c r="BW6" s="33"/>
      <c r="BX6" s="33"/>
      <c r="BY6" s="33"/>
      <c r="BZ6" s="33"/>
      <c r="CA6" s="33"/>
      <c r="CB6" s="33"/>
      <c r="CC6" s="33"/>
      <c r="CD6" s="33"/>
      <c r="CE6" s="33"/>
      <c r="CF6" s="33"/>
      <c r="CG6" s="33"/>
      <c r="CH6" s="33"/>
      <c r="CI6" s="33"/>
      <c r="CJ6" s="33"/>
      <c r="CK6" s="33"/>
      <c r="CL6" s="33"/>
      <c r="CM6" s="33"/>
      <c r="CN6" s="33"/>
      <c r="CO6" s="33"/>
      <c r="CP6" s="33"/>
      <c r="CQ6" s="33"/>
      <c r="CR6" s="33"/>
      <c r="CS6" s="33"/>
      <c r="CT6" s="33"/>
      <c r="CU6" s="33"/>
      <c r="CV6" s="33"/>
      <c r="CW6" s="33"/>
      <c r="CX6" s="33"/>
      <c r="CY6" s="33"/>
      <c r="CZ6" s="33"/>
      <c r="DA6" s="33"/>
      <c r="DB6" s="33"/>
      <c r="DC6" s="33"/>
      <c r="DD6" s="33"/>
      <c r="DE6" s="33"/>
      <c r="DF6" s="33"/>
      <c r="DG6" s="33"/>
      <c r="DH6" s="33"/>
      <c r="DI6" s="33"/>
      <c r="DJ6" s="33"/>
      <c r="DK6" s="33"/>
      <c r="DL6" s="33"/>
      <c r="DM6" s="33"/>
      <c r="DN6" s="33"/>
      <c r="DO6" s="33"/>
      <c r="DP6" s="33"/>
      <c r="DQ6" s="33"/>
      <c r="DR6" s="33"/>
      <c r="DS6" s="33"/>
      <c r="DT6" s="33"/>
      <c r="DU6" s="33"/>
      <c r="DV6" s="33"/>
      <c r="DW6" s="33"/>
      <c r="DX6" s="33"/>
      <c r="DY6" s="33"/>
      <c r="DZ6" s="33"/>
      <c r="EA6" s="33"/>
      <c r="EB6" s="33"/>
      <c r="EC6" s="33"/>
    </row>
    <row r="7" spans="1:133" ht="14.25" x14ac:dyDescent="0.2">
      <c r="A7" s="13" t="s">
        <v>26</v>
      </c>
      <c r="B7" s="4" t="s">
        <v>11</v>
      </c>
      <c r="C7" s="44">
        <f t="shared" ref="C7:R7" si="2">0.25*3.14*(C6^2)</f>
        <v>2552.2551140000005</v>
      </c>
      <c r="D7" s="6">
        <f t="shared" si="2"/>
        <v>49.989114000000008</v>
      </c>
      <c r="E7" s="6">
        <f t="shared" si="2"/>
        <v>49.989114000000008</v>
      </c>
      <c r="F7" s="6">
        <f t="shared" si="2"/>
        <v>49.989114000000008</v>
      </c>
      <c r="G7" s="6">
        <f t="shared" si="2"/>
        <v>28.26</v>
      </c>
      <c r="H7" s="6">
        <f t="shared" si="2"/>
        <v>28.26</v>
      </c>
      <c r="I7" s="6">
        <f t="shared" si="2"/>
        <v>28.26</v>
      </c>
      <c r="J7" s="6">
        <f>0.25*3.14*(J6^2)</f>
        <v>81.991993999999991</v>
      </c>
      <c r="K7" s="6">
        <f t="shared" ref="K7" si="3">0.25*3.14*(K6^2)</f>
        <v>28.26</v>
      </c>
      <c r="L7" s="101">
        <f t="shared" si="2"/>
        <v>81.991993999999991</v>
      </c>
      <c r="M7" s="101">
        <f t="shared" si="2"/>
        <v>50.24</v>
      </c>
      <c r="N7" s="101">
        <f t="shared" si="2"/>
        <v>50.24</v>
      </c>
      <c r="O7" s="101">
        <f t="shared" si="2"/>
        <v>50.24</v>
      </c>
      <c r="P7" s="6">
        <f t="shared" si="2"/>
        <v>28.26</v>
      </c>
      <c r="Q7" s="6">
        <f t="shared" si="2"/>
        <v>28.26</v>
      </c>
      <c r="R7" s="30">
        <f t="shared" si="2"/>
        <v>28.26</v>
      </c>
      <c r="S7" s="71"/>
      <c r="T7" s="30">
        <f>0.25*3.14*(T6^2)</f>
        <v>1586.8002560000002</v>
      </c>
      <c r="U7" s="30">
        <f>0.25*3.14*(U6^2)</f>
        <v>585.0526500000002</v>
      </c>
      <c r="V7" s="71"/>
      <c r="W7" s="30">
        <f>0.25*3.14*(W6^2)</f>
        <v>1586.8002560000002</v>
      </c>
      <c r="X7" s="30">
        <f>0.25*3.14*(X6^2)</f>
        <v>585.0526500000002</v>
      </c>
      <c r="Y7" s="33"/>
      <c r="Z7" s="33"/>
      <c r="AA7" s="33"/>
      <c r="AB7" s="33"/>
      <c r="AC7" s="33"/>
      <c r="AD7" s="33"/>
      <c r="AE7" s="33"/>
      <c r="AF7" s="33"/>
      <c r="AG7" s="33"/>
      <c r="AH7" s="33"/>
      <c r="AI7" s="33"/>
      <c r="AJ7" s="33"/>
      <c r="AK7" s="33"/>
      <c r="AL7" s="33"/>
      <c r="AM7" s="33"/>
      <c r="AN7" s="33"/>
      <c r="AO7" s="33"/>
      <c r="AP7" s="33"/>
      <c r="AQ7" s="33"/>
      <c r="AR7" s="33"/>
      <c r="AS7" s="33"/>
      <c r="AT7" s="33"/>
      <c r="AU7" s="33"/>
      <c r="AV7" s="33"/>
      <c r="AW7" s="33"/>
      <c r="AX7" s="33"/>
      <c r="AY7" s="33"/>
      <c r="AZ7" s="33"/>
      <c r="BA7" s="33"/>
      <c r="BB7" s="33"/>
      <c r="BC7" s="33"/>
      <c r="BD7" s="33"/>
      <c r="BE7" s="33"/>
      <c r="BF7" s="33"/>
      <c r="BG7" s="33"/>
      <c r="BH7" s="33"/>
      <c r="BI7" s="33"/>
      <c r="BJ7" s="33"/>
      <c r="BK7" s="33"/>
      <c r="BL7" s="33"/>
      <c r="BM7" s="33"/>
      <c r="BN7" s="33"/>
      <c r="BO7" s="33"/>
      <c r="BP7" s="33"/>
      <c r="BQ7" s="33"/>
      <c r="BR7" s="33"/>
      <c r="BS7" s="33"/>
      <c r="BT7" s="33"/>
      <c r="BU7" s="33"/>
      <c r="BV7" s="33"/>
      <c r="BW7" s="33"/>
      <c r="BX7" s="33"/>
      <c r="BY7" s="33"/>
      <c r="BZ7" s="33"/>
      <c r="CA7" s="33"/>
      <c r="CB7" s="33"/>
      <c r="CC7" s="33"/>
      <c r="CD7" s="33"/>
      <c r="CE7" s="33"/>
      <c r="CF7" s="33"/>
      <c r="CG7" s="33"/>
      <c r="CH7" s="33"/>
      <c r="CI7" s="33"/>
      <c r="CJ7" s="33"/>
      <c r="CK7" s="33"/>
      <c r="CL7" s="33"/>
      <c r="CM7" s="33"/>
      <c r="CN7" s="33"/>
      <c r="CO7" s="33"/>
      <c r="CP7" s="33"/>
      <c r="CQ7" s="33"/>
      <c r="CR7" s="33"/>
      <c r="CS7" s="33"/>
      <c r="CT7" s="33"/>
      <c r="CU7" s="33"/>
      <c r="CV7" s="33"/>
      <c r="CW7" s="33"/>
      <c r="CX7" s="33"/>
      <c r="CY7" s="33"/>
      <c r="CZ7" s="33"/>
      <c r="DA7" s="33"/>
      <c r="DB7" s="33"/>
      <c r="DC7" s="33"/>
      <c r="DD7" s="33"/>
      <c r="DE7" s="33"/>
      <c r="DF7" s="33"/>
      <c r="DG7" s="33"/>
      <c r="DH7" s="33"/>
      <c r="DI7" s="33"/>
      <c r="DJ7" s="33"/>
      <c r="DK7" s="33"/>
      <c r="DL7" s="33"/>
      <c r="DM7" s="33"/>
      <c r="DN7" s="33"/>
      <c r="DO7" s="33"/>
      <c r="DP7" s="33"/>
      <c r="DQ7" s="33"/>
      <c r="DR7" s="33"/>
      <c r="DS7" s="33"/>
      <c r="DT7" s="33"/>
      <c r="DU7" s="33"/>
      <c r="DV7" s="33"/>
      <c r="DW7" s="33"/>
      <c r="DX7" s="33"/>
      <c r="DY7" s="33"/>
      <c r="DZ7" s="33"/>
      <c r="EA7" s="33"/>
      <c r="EB7" s="33"/>
      <c r="EC7" s="33"/>
    </row>
    <row r="8" spans="1:133" s="40" customFormat="1" x14ac:dyDescent="0.2">
      <c r="A8" s="13" t="s">
        <v>4</v>
      </c>
      <c r="B8" s="4" t="s">
        <v>7</v>
      </c>
      <c r="C8" s="44">
        <f>SUMPRODUCT(D8:R8,D16:R16)-SUMPRODUCT(L8:O8,L16:O16)</f>
        <v>365.4</v>
      </c>
      <c r="D8" s="32">
        <f>'Present YE1 '!D8</f>
        <v>2.2999999999999998</v>
      </c>
      <c r="E8" s="32">
        <f>'Present YE1 '!E8</f>
        <v>2.2999999999999998</v>
      </c>
      <c r="F8" s="32">
        <f>'Present YE1 '!F8</f>
        <v>4</v>
      </c>
      <c r="G8" s="32">
        <f>'Present YE1 '!H8</f>
        <v>2</v>
      </c>
      <c r="H8" s="32">
        <f>'Present YE1 '!I8</f>
        <v>2</v>
      </c>
      <c r="I8" s="132">
        <v>2</v>
      </c>
      <c r="J8" s="32">
        <f>'Present YE1 '!N8</f>
        <v>2</v>
      </c>
      <c r="K8" s="29">
        <v>2</v>
      </c>
      <c r="L8" s="102">
        <f>'Present YE1 '!M8</f>
        <v>5</v>
      </c>
      <c r="M8" s="102">
        <f>'Present YE1 '!O8</f>
        <v>4</v>
      </c>
      <c r="N8" s="102">
        <f>'Present YE1 '!P8</f>
        <v>2</v>
      </c>
      <c r="O8" s="102">
        <f>'Present YE1 '!Q8</f>
        <v>4</v>
      </c>
      <c r="P8" s="32">
        <v>4</v>
      </c>
      <c r="Q8" s="32">
        <v>6</v>
      </c>
      <c r="R8" s="73">
        <v>4</v>
      </c>
      <c r="S8" s="72"/>
      <c r="T8" s="32">
        <f>U8*U16</f>
        <v>91.2</v>
      </c>
      <c r="U8" s="32">
        <v>11.4</v>
      </c>
      <c r="V8" s="72"/>
      <c r="W8" s="32">
        <f>X8*X16</f>
        <v>91.2</v>
      </c>
      <c r="X8" s="32">
        <v>11.4</v>
      </c>
      <c r="Y8" s="33"/>
      <c r="Z8" s="33"/>
      <c r="AA8" s="33"/>
      <c r="AB8" s="33"/>
      <c r="AC8" s="33"/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3"/>
      <c r="AV8" s="33"/>
      <c r="AW8" s="33"/>
      <c r="AX8" s="33"/>
      <c r="AY8" s="33"/>
      <c r="AZ8" s="33"/>
      <c r="BA8" s="33"/>
      <c r="BB8" s="33"/>
      <c r="BC8" s="33"/>
      <c r="BD8" s="33"/>
      <c r="BE8" s="33"/>
      <c r="BF8" s="33"/>
      <c r="BG8" s="33"/>
      <c r="BH8" s="33"/>
      <c r="BI8" s="33"/>
      <c r="BJ8" s="33"/>
      <c r="BK8" s="33"/>
      <c r="BL8" s="33"/>
      <c r="BM8" s="33"/>
      <c r="BN8" s="33"/>
      <c r="BO8" s="33"/>
      <c r="BP8" s="33"/>
      <c r="BQ8" s="33"/>
      <c r="BR8" s="33"/>
      <c r="BS8" s="33"/>
      <c r="BT8" s="33"/>
      <c r="BU8" s="33"/>
      <c r="BV8" s="33"/>
      <c r="BW8" s="33"/>
      <c r="BX8" s="33"/>
      <c r="BY8" s="33"/>
      <c r="BZ8" s="33"/>
      <c r="CA8" s="33"/>
      <c r="CB8" s="33"/>
      <c r="CC8" s="33"/>
      <c r="CD8" s="33"/>
      <c r="CE8" s="33"/>
      <c r="CF8" s="33"/>
      <c r="CG8" s="33"/>
      <c r="CH8" s="33"/>
      <c r="CI8" s="33"/>
      <c r="CJ8" s="33"/>
      <c r="CK8" s="33"/>
      <c r="CL8" s="33"/>
      <c r="CM8" s="33"/>
      <c r="CN8" s="33"/>
      <c r="CO8" s="33"/>
      <c r="CP8" s="33"/>
      <c r="CQ8" s="33"/>
      <c r="CR8" s="33"/>
      <c r="CS8" s="33"/>
      <c r="CT8" s="33"/>
      <c r="CU8" s="33"/>
      <c r="CV8" s="33"/>
      <c r="CW8" s="33"/>
      <c r="CX8" s="33"/>
      <c r="CY8" s="33"/>
      <c r="CZ8" s="33"/>
      <c r="DA8" s="33"/>
      <c r="DB8" s="33"/>
      <c r="DC8" s="33"/>
      <c r="DD8" s="33"/>
      <c r="DE8" s="33"/>
      <c r="DF8" s="33"/>
      <c r="DG8" s="33"/>
      <c r="DH8" s="33"/>
      <c r="DI8" s="33"/>
      <c r="DJ8" s="33"/>
      <c r="DK8" s="33"/>
      <c r="DL8" s="33"/>
      <c r="DM8" s="33"/>
      <c r="DN8" s="33"/>
      <c r="DO8" s="33"/>
      <c r="DP8" s="33"/>
      <c r="DQ8" s="33"/>
      <c r="DR8" s="33"/>
      <c r="DS8" s="33"/>
      <c r="DT8" s="33"/>
      <c r="DU8" s="33"/>
      <c r="DV8" s="33"/>
      <c r="DW8" s="33"/>
      <c r="DX8" s="33"/>
      <c r="DY8" s="33"/>
      <c r="DZ8" s="33"/>
      <c r="EA8" s="33"/>
      <c r="EB8" s="33"/>
      <c r="EC8" s="33"/>
    </row>
    <row r="9" spans="1:133" x14ac:dyDescent="0.2">
      <c r="A9" s="13" t="s">
        <v>38</v>
      </c>
      <c r="B9" s="4" t="s">
        <v>14</v>
      </c>
      <c r="C9" s="44">
        <f t="shared" ref="C9:R9" si="4">(C8*1000/60)/C7</f>
        <v>2.3861251042633818</v>
      </c>
      <c r="D9" s="5">
        <f t="shared" si="4"/>
        <v>0.76683362168277935</v>
      </c>
      <c r="E9" s="5">
        <f t="shared" si="4"/>
        <v>0.76683362168277935</v>
      </c>
      <c r="F9" s="5">
        <f t="shared" si="4"/>
        <v>1.3336236898830947</v>
      </c>
      <c r="G9" s="5">
        <f t="shared" si="4"/>
        <v>1.1795234725171031</v>
      </c>
      <c r="H9" s="5">
        <f t="shared" si="4"/>
        <v>1.1795234725171031</v>
      </c>
      <c r="I9" s="31">
        <f t="shared" si="4"/>
        <v>1.1795234725171031</v>
      </c>
      <c r="J9" s="5">
        <f>(J8*1000/60)/J7</f>
        <v>0.40654375759337358</v>
      </c>
      <c r="K9" s="31">
        <f t="shared" ref="K9" si="5">(K8*1000/60)/K7</f>
        <v>1.1795234725171031</v>
      </c>
      <c r="L9" s="100">
        <f t="shared" si="4"/>
        <v>1.0163593939834337</v>
      </c>
      <c r="M9" s="100">
        <f t="shared" si="4"/>
        <v>1.3269639065817411</v>
      </c>
      <c r="N9" s="100">
        <f t="shared" si="4"/>
        <v>0.66348195329087056</v>
      </c>
      <c r="O9" s="100">
        <f t="shared" si="4"/>
        <v>1.3269639065817411</v>
      </c>
      <c r="P9" s="5">
        <f t="shared" si="4"/>
        <v>2.3590469450342062</v>
      </c>
      <c r="Q9" s="5">
        <f t="shared" si="4"/>
        <v>3.5385704175513091</v>
      </c>
      <c r="R9" s="31">
        <f t="shared" si="4"/>
        <v>2.3590469450342062</v>
      </c>
      <c r="S9" s="70"/>
      <c r="T9" s="31">
        <f>(T8*1000/60)/T7</f>
        <v>0.95790254271297504</v>
      </c>
      <c r="U9" s="31">
        <f>(U8*1000/60)/U7</f>
        <v>0.32475709664762636</v>
      </c>
      <c r="V9" s="70"/>
      <c r="W9" s="31">
        <f>(W8*1000/60)/W7</f>
        <v>0.95790254271297504</v>
      </c>
      <c r="X9" s="31">
        <f>(X8*1000/60)/X7</f>
        <v>0.32475709664762636</v>
      </c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3"/>
      <c r="AO9" s="33"/>
      <c r="AP9" s="33"/>
      <c r="AQ9" s="33"/>
      <c r="AR9" s="33"/>
      <c r="AS9" s="33"/>
      <c r="AT9" s="33"/>
      <c r="AU9" s="33"/>
      <c r="AV9" s="33"/>
      <c r="AW9" s="33"/>
      <c r="AX9" s="33"/>
      <c r="AY9" s="33"/>
      <c r="AZ9" s="33"/>
      <c r="BA9" s="33"/>
      <c r="BB9" s="33"/>
      <c r="BC9" s="33"/>
      <c r="BD9" s="33"/>
      <c r="BE9" s="33"/>
      <c r="BF9" s="33"/>
      <c r="BG9" s="33"/>
      <c r="BH9" s="33"/>
      <c r="BI9" s="33"/>
      <c r="BJ9" s="33"/>
      <c r="BK9" s="33"/>
      <c r="BL9" s="33"/>
      <c r="BM9" s="33"/>
      <c r="BN9" s="33"/>
      <c r="BO9" s="33"/>
      <c r="BP9" s="33"/>
      <c r="BQ9" s="33"/>
      <c r="BR9" s="33"/>
      <c r="BS9" s="33"/>
      <c r="BT9" s="33"/>
      <c r="BU9" s="33"/>
      <c r="BV9" s="33"/>
      <c r="BW9" s="33"/>
      <c r="BX9" s="33"/>
      <c r="BY9" s="33"/>
      <c r="BZ9" s="33"/>
      <c r="CA9" s="33"/>
      <c r="CB9" s="33"/>
      <c r="CC9" s="33"/>
      <c r="CD9" s="33"/>
      <c r="CE9" s="33"/>
      <c r="CF9" s="33"/>
      <c r="CG9" s="33"/>
      <c r="CH9" s="33"/>
      <c r="CI9" s="33"/>
      <c r="CJ9" s="33"/>
      <c r="CK9" s="33"/>
      <c r="CL9" s="33"/>
      <c r="CM9" s="33"/>
      <c r="CN9" s="33"/>
      <c r="CO9" s="33"/>
      <c r="CP9" s="33"/>
      <c r="CQ9" s="33"/>
      <c r="CR9" s="33"/>
      <c r="CS9" s="33"/>
      <c r="CT9" s="33"/>
      <c r="CU9" s="33"/>
      <c r="CV9" s="33"/>
      <c r="CW9" s="33"/>
      <c r="CX9" s="33"/>
      <c r="CY9" s="33"/>
      <c r="CZ9" s="33"/>
      <c r="DA9" s="33"/>
      <c r="DB9" s="33"/>
      <c r="DC9" s="33"/>
      <c r="DD9" s="33"/>
      <c r="DE9" s="33"/>
      <c r="DF9" s="33"/>
      <c r="DG9" s="33"/>
      <c r="DH9" s="33"/>
      <c r="DI9" s="33"/>
      <c r="DJ9" s="33"/>
      <c r="DK9" s="33"/>
      <c r="DL9" s="33"/>
      <c r="DM9" s="33"/>
      <c r="DN9" s="33"/>
      <c r="DO9" s="33"/>
      <c r="DP9" s="33"/>
      <c r="DQ9" s="33"/>
      <c r="DR9" s="33"/>
      <c r="DS9" s="33"/>
      <c r="DT9" s="33"/>
      <c r="DU9" s="33"/>
      <c r="DV9" s="33"/>
      <c r="DW9" s="33"/>
      <c r="DX9" s="33"/>
      <c r="DY9" s="33"/>
      <c r="DZ9" s="33"/>
      <c r="EA9" s="33"/>
      <c r="EB9" s="33"/>
      <c r="EC9" s="33"/>
    </row>
    <row r="10" spans="1:133" x14ac:dyDescent="0.2">
      <c r="A10" s="13" t="s">
        <v>42</v>
      </c>
      <c r="B10" s="4" t="s">
        <v>43</v>
      </c>
      <c r="C10" s="44">
        <f t="shared" ref="C10:R10" si="6">(C9*(C6/1000))/(1.035*10^-6)</f>
        <v>131455.89704840392</v>
      </c>
      <c r="D10" s="6">
        <f t="shared" si="6"/>
        <v>5912.3983584817206</v>
      </c>
      <c r="E10" s="6">
        <f t="shared" si="6"/>
        <v>5912.3983584817206</v>
      </c>
      <c r="F10" s="6">
        <f t="shared" si="6"/>
        <v>10282.4319277943</v>
      </c>
      <c r="G10" s="6">
        <f t="shared" si="6"/>
        <v>6837.8172319832074</v>
      </c>
      <c r="H10" s="6">
        <f t="shared" si="6"/>
        <v>6837.8172319832074</v>
      </c>
      <c r="I10" s="30">
        <f t="shared" si="6"/>
        <v>6837.8172319832074</v>
      </c>
      <c r="J10" s="6">
        <f>(J9*(J6/1000))/(1.035*10^-6)</f>
        <v>4014.374108796404</v>
      </c>
      <c r="K10" s="30">
        <f t="shared" ref="K10" si="7">(K9*(K6/1000))/(1.035*10^-6)</f>
        <v>6837.8172319832074</v>
      </c>
      <c r="L10" s="101">
        <f t="shared" si="6"/>
        <v>10035.935271991008</v>
      </c>
      <c r="M10" s="101">
        <f t="shared" si="6"/>
        <v>10256.725847974812</v>
      </c>
      <c r="N10" s="101">
        <f t="shared" si="6"/>
        <v>5128.3629239874062</v>
      </c>
      <c r="O10" s="101">
        <f t="shared" si="6"/>
        <v>10256.725847974812</v>
      </c>
      <c r="P10" s="6">
        <f t="shared" si="6"/>
        <v>13675.634463966415</v>
      </c>
      <c r="Q10" s="6">
        <f t="shared" si="6"/>
        <v>20513.451695949621</v>
      </c>
      <c r="R10" s="30">
        <f t="shared" si="6"/>
        <v>13675.634463966415</v>
      </c>
      <c r="S10" s="70"/>
      <c r="T10" s="30">
        <f>(T9*(T6/1000))/(1.035*10^-6)</f>
        <v>41610.916251570401</v>
      </c>
      <c r="U10" s="30">
        <f>(U9*(U6/1000))/(1.035*10^-6)</f>
        <v>8566.0567521547855</v>
      </c>
      <c r="V10" s="70"/>
      <c r="W10" s="30">
        <f>(W9*(W6/1000))/(1.035*10^-6)</f>
        <v>41610.916251570401</v>
      </c>
      <c r="X10" s="30">
        <f>(X9*(X6/1000))/(1.035*10^-6)</f>
        <v>8566.0567521547855</v>
      </c>
      <c r="Y10" s="33"/>
      <c r="Z10" s="33"/>
      <c r="AA10" s="33"/>
      <c r="AB10" s="33"/>
      <c r="AC10" s="33"/>
      <c r="AD10" s="33"/>
      <c r="AE10" s="33"/>
      <c r="AF10" s="33"/>
      <c r="AG10" s="33"/>
      <c r="AH10" s="33"/>
      <c r="AI10" s="33"/>
      <c r="AJ10" s="33"/>
      <c r="AK10" s="33"/>
      <c r="AL10" s="33"/>
      <c r="AM10" s="33"/>
      <c r="AN10" s="33"/>
      <c r="AO10" s="33"/>
      <c r="AP10" s="33"/>
      <c r="AQ10" s="33"/>
      <c r="AR10" s="33"/>
      <c r="AS10" s="33"/>
      <c r="AT10" s="33"/>
      <c r="AU10" s="33"/>
      <c r="AV10" s="33"/>
      <c r="AW10" s="33"/>
      <c r="AX10" s="33"/>
      <c r="AY10" s="33"/>
      <c r="AZ10" s="33"/>
      <c r="BA10" s="33"/>
      <c r="BB10" s="33"/>
      <c r="BC10" s="33"/>
      <c r="BD10" s="33"/>
      <c r="BE10" s="33"/>
      <c r="BF10" s="33"/>
      <c r="BG10" s="33"/>
      <c r="BH10" s="33"/>
      <c r="BI10" s="33"/>
      <c r="BJ10" s="33"/>
      <c r="BK10" s="33"/>
      <c r="BL10" s="33"/>
      <c r="BM10" s="33"/>
      <c r="BN10" s="33"/>
      <c r="BO10" s="33"/>
      <c r="BP10" s="33"/>
      <c r="BQ10" s="33"/>
      <c r="BR10" s="33"/>
      <c r="BS10" s="33"/>
      <c r="BT10" s="33"/>
      <c r="BU10" s="33"/>
      <c r="BV10" s="33"/>
      <c r="BW10" s="33"/>
      <c r="BX10" s="33"/>
      <c r="BY10" s="33"/>
      <c r="BZ10" s="33"/>
      <c r="CA10" s="33"/>
      <c r="CB10" s="33"/>
      <c r="CC10" s="33"/>
      <c r="CD10" s="33"/>
      <c r="CE10" s="33"/>
      <c r="CF10" s="33"/>
      <c r="CG10" s="33"/>
      <c r="CH10" s="33"/>
      <c r="CI10" s="33"/>
      <c r="CJ10" s="33"/>
      <c r="CK10" s="33"/>
      <c r="CL10" s="33"/>
      <c r="CM10" s="33"/>
      <c r="CN10" s="33"/>
      <c r="CO10" s="33"/>
      <c r="CP10" s="33"/>
      <c r="CQ10" s="33"/>
      <c r="CR10" s="33"/>
      <c r="CS10" s="33"/>
      <c r="CT10" s="33"/>
      <c r="CU10" s="33"/>
      <c r="CV10" s="33"/>
      <c r="CW10" s="33"/>
      <c r="CX10" s="33"/>
      <c r="CY10" s="33"/>
      <c r="CZ10" s="33"/>
      <c r="DA10" s="33"/>
      <c r="DB10" s="33"/>
      <c r="DC10" s="33"/>
      <c r="DD10" s="33"/>
      <c r="DE10" s="33"/>
      <c r="DF10" s="33"/>
      <c r="DG10" s="33"/>
      <c r="DH10" s="33"/>
      <c r="DI10" s="33"/>
      <c r="DJ10" s="33"/>
      <c r="DK10" s="33"/>
      <c r="DL10" s="33"/>
      <c r="DM10" s="33"/>
      <c r="DN10" s="33"/>
      <c r="DO10" s="33"/>
      <c r="DP10" s="33"/>
      <c r="DQ10" s="33"/>
      <c r="DR10" s="33"/>
      <c r="DS10" s="33"/>
      <c r="DT10" s="33"/>
      <c r="DU10" s="33"/>
      <c r="DV10" s="33"/>
      <c r="DW10" s="33"/>
      <c r="DX10" s="33"/>
      <c r="DY10" s="33"/>
      <c r="DZ10" s="33"/>
      <c r="EA10" s="33"/>
      <c r="EB10" s="33"/>
      <c r="EC10" s="33"/>
    </row>
    <row r="11" spans="1:133" s="40" customFormat="1" x14ac:dyDescent="0.2">
      <c r="A11" s="13" t="s">
        <v>91</v>
      </c>
      <c r="B11" s="4" t="s">
        <v>8</v>
      </c>
      <c r="C11" s="44"/>
      <c r="D11" s="30">
        <f>'Present YE1 '!D11</f>
        <v>86</v>
      </c>
      <c r="E11" s="30">
        <f>'Present YE1 '!E11</f>
        <v>105</v>
      </c>
      <c r="F11" s="30">
        <f>'Present YE1 '!F11</f>
        <v>270</v>
      </c>
      <c r="G11" s="30">
        <f>'Present YE1 '!H11</f>
        <v>10</v>
      </c>
      <c r="H11" s="30">
        <f>'Present YE1 '!I11</f>
        <v>10</v>
      </c>
      <c r="I11" s="30">
        <v>10</v>
      </c>
      <c r="J11" s="30">
        <f>'Present YE1 '!N11</f>
        <v>0</v>
      </c>
      <c r="K11" s="38">
        <v>300</v>
      </c>
      <c r="L11" s="101">
        <f>'Present YE1 '!M11</f>
        <v>0</v>
      </c>
      <c r="M11" s="101">
        <f>'Present YE1 '!O11</f>
        <v>0</v>
      </c>
      <c r="N11" s="101">
        <f>'Present YE1 '!P11</f>
        <v>0</v>
      </c>
      <c r="O11" s="101">
        <f>'Present YE1 '!Q11</f>
        <v>0</v>
      </c>
      <c r="P11" s="30">
        <v>40</v>
      </c>
      <c r="Q11" s="30">
        <v>160</v>
      </c>
      <c r="R11" s="83">
        <v>60</v>
      </c>
      <c r="S11" s="70"/>
      <c r="T11" s="30"/>
      <c r="U11" s="30"/>
      <c r="V11" s="70"/>
      <c r="W11" s="30"/>
      <c r="X11" s="30"/>
      <c r="Y11" s="33"/>
      <c r="Z11" s="33"/>
      <c r="AA11" s="33"/>
      <c r="AB11" s="33"/>
      <c r="AC11" s="33"/>
      <c r="AD11" s="33"/>
      <c r="AE11" s="33"/>
      <c r="AF11" s="33"/>
      <c r="AG11" s="33"/>
      <c r="AH11" s="33"/>
      <c r="AI11" s="33"/>
      <c r="AJ11" s="33"/>
      <c r="AK11" s="33"/>
      <c r="AL11" s="33"/>
      <c r="AM11" s="33"/>
      <c r="AN11" s="33"/>
      <c r="AO11" s="33"/>
      <c r="AP11" s="33"/>
      <c r="AQ11" s="33"/>
      <c r="AR11" s="33"/>
      <c r="AS11" s="33"/>
      <c r="AT11" s="33"/>
      <c r="AU11" s="33"/>
      <c r="AV11" s="33"/>
      <c r="AW11" s="33"/>
      <c r="AX11" s="33"/>
      <c r="AY11" s="33"/>
      <c r="AZ11" s="33"/>
      <c r="BA11" s="33"/>
      <c r="BB11" s="33"/>
      <c r="BC11" s="33"/>
      <c r="BD11" s="33"/>
      <c r="BE11" s="33"/>
      <c r="BF11" s="33"/>
      <c r="BG11" s="33"/>
      <c r="BH11" s="33"/>
      <c r="BI11" s="33"/>
      <c r="BJ11" s="33"/>
      <c r="BK11" s="33"/>
      <c r="BL11" s="33"/>
      <c r="BM11" s="33"/>
      <c r="BN11" s="33"/>
      <c r="BO11" s="33"/>
      <c r="BP11" s="33"/>
      <c r="BQ11" s="33"/>
      <c r="BR11" s="33"/>
      <c r="BS11" s="33"/>
      <c r="BT11" s="33"/>
      <c r="BU11" s="33"/>
      <c r="BV11" s="33"/>
      <c r="BW11" s="33"/>
      <c r="BX11" s="33"/>
      <c r="BY11" s="33"/>
      <c r="BZ11" s="33"/>
      <c r="CA11" s="33"/>
      <c r="CB11" s="33"/>
      <c r="CC11" s="33"/>
      <c r="CD11" s="33"/>
      <c r="CE11" s="33"/>
      <c r="CF11" s="33"/>
      <c r="CG11" s="33"/>
      <c r="CH11" s="33"/>
      <c r="CI11" s="33"/>
      <c r="CJ11" s="33"/>
      <c r="CK11" s="33"/>
      <c r="CL11" s="33"/>
      <c r="CM11" s="33"/>
      <c r="CN11" s="33"/>
      <c r="CO11" s="33"/>
      <c r="CP11" s="33"/>
      <c r="CQ11" s="33"/>
      <c r="CR11" s="33"/>
      <c r="CS11" s="33"/>
      <c r="CT11" s="33"/>
      <c r="CU11" s="33"/>
      <c r="CV11" s="33"/>
      <c r="CW11" s="33"/>
      <c r="CX11" s="33"/>
      <c r="CY11" s="33"/>
      <c r="CZ11" s="33"/>
      <c r="DA11" s="33"/>
      <c r="DB11" s="33"/>
      <c r="DC11" s="33"/>
      <c r="DD11" s="33"/>
      <c r="DE11" s="33"/>
      <c r="DF11" s="33"/>
      <c r="DG11" s="33"/>
      <c r="DH11" s="33"/>
      <c r="DI11" s="33"/>
      <c r="DJ11" s="33"/>
      <c r="DK11" s="33"/>
      <c r="DL11" s="33"/>
      <c r="DM11" s="33"/>
      <c r="DN11" s="33"/>
      <c r="DO11" s="33"/>
      <c r="DP11" s="33"/>
      <c r="DQ11" s="33"/>
      <c r="DR11" s="33"/>
      <c r="DS11" s="33"/>
      <c r="DT11" s="33"/>
      <c r="DU11" s="33"/>
      <c r="DV11" s="33"/>
      <c r="DW11" s="33"/>
      <c r="DX11" s="33"/>
      <c r="DY11" s="33"/>
      <c r="DZ11" s="33"/>
      <c r="EA11" s="33"/>
      <c r="EB11" s="33"/>
      <c r="EC11" s="33"/>
    </row>
    <row r="12" spans="1:133" s="40" customFormat="1" x14ac:dyDescent="0.2">
      <c r="A12" s="13" t="s">
        <v>70</v>
      </c>
      <c r="B12" s="4"/>
      <c r="C12" s="44"/>
      <c r="D12" s="30">
        <f>'Present YE1 '!D12</f>
        <v>4</v>
      </c>
      <c r="E12" s="30">
        <f>'Present YE1 '!E12</f>
        <v>4</v>
      </c>
      <c r="F12" s="30">
        <f>'Present YE1 '!F12</f>
        <v>2</v>
      </c>
      <c r="G12" s="30">
        <f>'Present YE1 '!H12</f>
        <v>6</v>
      </c>
      <c r="H12" s="30">
        <f>'Present YE1 '!I12</f>
        <v>6</v>
      </c>
      <c r="I12" s="30">
        <v>4</v>
      </c>
      <c r="J12" s="30">
        <f>'Present YE1 '!N12</f>
        <v>0</v>
      </c>
      <c r="K12" s="40">
        <v>1</v>
      </c>
      <c r="L12" s="101">
        <f>'Present YE1 '!M12</f>
        <v>0</v>
      </c>
      <c r="M12" s="101">
        <f>'Present YE1 '!O12</f>
        <v>0</v>
      </c>
      <c r="N12" s="101">
        <f>'Present YE1 '!P12</f>
        <v>0</v>
      </c>
      <c r="O12" s="101">
        <f>'Present YE1 '!Q12</f>
        <v>0</v>
      </c>
      <c r="P12" s="30">
        <v>12</v>
      </c>
      <c r="Q12" s="30">
        <v>6</v>
      </c>
      <c r="R12" s="83">
        <v>6</v>
      </c>
      <c r="S12" s="70"/>
      <c r="T12" s="30"/>
      <c r="U12" s="30"/>
      <c r="V12" s="70"/>
      <c r="W12" s="30"/>
      <c r="X12" s="30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33"/>
      <c r="AJ12" s="33"/>
      <c r="AK12" s="33"/>
      <c r="AL12" s="33"/>
      <c r="AM12" s="33"/>
      <c r="AN12" s="33"/>
      <c r="AO12" s="33"/>
      <c r="AP12" s="33"/>
      <c r="AQ12" s="33"/>
      <c r="AR12" s="33"/>
      <c r="AS12" s="33"/>
      <c r="AT12" s="33"/>
      <c r="AU12" s="33"/>
      <c r="AV12" s="33"/>
      <c r="AW12" s="33"/>
      <c r="AX12" s="33"/>
      <c r="AY12" s="33"/>
      <c r="AZ12" s="33"/>
      <c r="BA12" s="33"/>
      <c r="BB12" s="33"/>
      <c r="BC12" s="33"/>
      <c r="BD12" s="33"/>
      <c r="BE12" s="33"/>
      <c r="BF12" s="33"/>
      <c r="BG12" s="33"/>
      <c r="BH12" s="33"/>
      <c r="BI12" s="33"/>
      <c r="BJ12" s="33"/>
      <c r="BK12" s="33"/>
      <c r="BL12" s="33"/>
      <c r="BM12" s="33"/>
      <c r="BN12" s="33"/>
      <c r="BO12" s="33"/>
      <c r="BP12" s="33"/>
      <c r="BQ12" s="33"/>
      <c r="BR12" s="33"/>
      <c r="BS12" s="33"/>
      <c r="BT12" s="33"/>
      <c r="BU12" s="33"/>
      <c r="BV12" s="33"/>
      <c r="BW12" s="33"/>
      <c r="BX12" s="33"/>
      <c r="BY12" s="33"/>
      <c r="BZ12" s="33"/>
      <c r="CA12" s="33"/>
      <c r="CB12" s="33"/>
      <c r="CC12" s="33"/>
      <c r="CD12" s="33"/>
      <c r="CE12" s="33"/>
      <c r="CF12" s="33"/>
      <c r="CG12" s="33"/>
      <c r="CH12" s="33"/>
      <c r="CI12" s="33"/>
      <c r="CJ12" s="33"/>
      <c r="CK12" s="33"/>
      <c r="CL12" s="33"/>
      <c r="CM12" s="33"/>
      <c r="CN12" s="33"/>
      <c r="CO12" s="33"/>
      <c r="CP12" s="33"/>
      <c r="CQ12" s="33"/>
      <c r="CR12" s="33"/>
      <c r="CS12" s="33"/>
      <c r="CT12" s="33"/>
      <c r="CU12" s="33"/>
      <c r="CV12" s="33"/>
      <c r="CW12" s="33"/>
      <c r="CX12" s="33"/>
      <c r="CY12" s="33"/>
      <c r="CZ12" s="33"/>
      <c r="DA12" s="33"/>
      <c r="DB12" s="33"/>
      <c r="DC12" s="33"/>
      <c r="DD12" s="33"/>
      <c r="DE12" s="33"/>
      <c r="DF12" s="33"/>
      <c r="DG12" s="33"/>
      <c r="DH12" s="33"/>
      <c r="DI12" s="33"/>
      <c r="DJ12" s="33"/>
      <c r="DK12" s="33"/>
      <c r="DL12" s="33"/>
      <c r="DM12" s="33"/>
      <c r="DN12" s="33"/>
      <c r="DO12" s="33"/>
      <c r="DP12" s="33"/>
      <c r="DQ12" s="33"/>
      <c r="DR12" s="33"/>
      <c r="DS12" s="33"/>
      <c r="DT12" s="33"/>
      <c r="DU12" s="33"/>
      <c r="DV12" s="33"/>
      <c r="DW12" s="33"/>
      <c r="DX12" s="33"/>
      <c r="DY12" s="33"/>
      <c r="DZ12" s="33"/>
      <c r="EA12" s="33"/>
      <c r="EB12" s="33"/>
      <c r="EC12" s="33"/>
    </row>
    <row r="13" spans="1:133" x14ac:dyDescent="0.2">
      <c r="A13" s="13" t="s">
        <v>17</v>
      </c>
      <c r="B13" s="4" t="s">
        <v>8</v>
      </c>
      <c r="C13" s="44">
        <f>C18</f>
        <v>33156</v>
      </c>
      <c r="D13" s="6">
        <v>344</v>
      </c>
      <c r="E13" s="6">
        <v>420</v>
      </c>
      <c r="F13" s="6">
        <v>540</v>
      </c>
      <c r="G13" s="6">
        <f>G12*G11</f>
        <v>60</v>
      </c>
      <c r="H13" s="6">
        <f>H12*H11</f>
        <v>60</v>
      </c>
      <c r="I13" s="30">
        <f t="shared" ref="I13" si="8">I12*I11</f>
        <v>40</v>
      </c>
      <c r="J13" s="6">
        <v>400</v>
      </c>
      <c r="K13" s="38">
        <f t="shared" ref="K13" si="9">K12*K11</f>
        <v>300</v>
      </c>
      <c r="L13" s="101">
        <v>852</v>
      </c>
      <c r="M13" s="101">
        <v>247</v>
      </c>
      <c r="N13" s="101">
        <v>147</v>
      </c>
      <c r="O13" s="101">
        <v>390</v>
      </c>
      <c r="P13" s="6">
        <f>P11*P12</f>
        <v>480</v>
      </c>
      <c r="Q13" s="6">
        <f t="shared" ref="Q13:R13" si="10">Q11*Q12</f>
        <v>960</v>
      </c>
      <c r="R13" s="82">
        <f t="shared" si="10"/>
        <v>360</v>
      </c>
      <c r="S13" s="70"/>
      <c r="T13" s="30"/>
      <c r="U13" s="30">
        <v>1775</v>
      </c>
      <c r="V13" s="70"/>
      <c r="W13" s="30">
        <f>W18</f>
        <v>14000</v>
      </c>
      <c r="X13" s="30">
        <v>1750</v>
      </c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  <c r="AL13" s="33"/>
      <c r="AM13" s="33"/>
      <c r="AN13" s="33"/>
      <c r="AO13" s="33"/>
      <c r="AP13" s="33"/>
      <c r="AQ13" s="33"/>
      <c r="AR13" s="33"/>
      <c r="AS13" s="33"/>
      <c r="AT13" s="33"/>
      <c r="AU13" s="33"/>
      <c r="AV13" s="33"/>
      <c r="AW13" s="33"/>
      <c r="AX13" s="33"/>
      <c r="AY13" s="33"/>
      <c r="AZ13" s="33"/>
      <c r="BA13" s="33"/>
      <c r="BB13" s="33"/>
      <c r="BC13" s="33"/>
      <c r="BD13" s="33"/>
      <c r="BE13" s="33"/>
      <c r="BF13" s="33"/>
      <c r="BG13" s="33"/>
      <c r="BH13" s="33"/>
      <c r="BI13" s="33"/>
      <c r="BJ13" s="33"/>
      <c r="BK13" s="33"/>
      <c r="BL13" s="33"/>
      <c r="BM13" s="33"/>
      <c r="BN13" s="33"/>
      <c r="BO13" s="33"/>
      <c r="BP13" s="33"/>
      <c r="BQ13" s="33"/>
      <c r="BR13" s="33"/>
      <c r="BS13" s="33"/>
      <c r="BT13" s="33"/>
      <c r="BU13" s="33"/>
      <c r="BV13" s="33"/>
      <c r="BW13" s="33"/>
      <c r="BX13" s="33"/>
      <c r="BY13" s="33"/>
      <c r="BZ13" s="33"/>
      <c r="CA13" s="33"/>
      <c r="CB13" s="33"/>
      <c r="CC13" s="33"/>
      <c r="CD13" s="33"/>
      <c r="CE13" s="33"/>
      <c r="CF13" s="33"/>
      <c r="CG13" s="33"/>
      <c r="CH13" s="33"/>
      <c r="CI13" s="33"/>
      <c r="CJ13" s="33"/>
      <c r="CK13" s="33"/>
      <c r="CL13" s="33"/>
      <c r="CM13" s="33"/>
      <c r="CN13" s="33"/>
      <c r="CO13" s="33"/>
      <c r="CP13" s="33"/>
      <c r="CQ13" s="33"/>
      <c r="CR13" s="33"/>
      <c r="CS13" s="33"/>
      <c r="CT13" s="33"/>
      <c r="CU13" s="33"/>
      <c r="CV13" s="33"/>
      <c r="CW13" s="33"/>
      <c r="CX13" s="33"/>
      <c r="CY13" s="33"/>
      <c r="CZ13" s="33"/>
      <c r="DA13" s="33"/>
      <c r="DB13" s="33"/>
      <c r="DC13" s="33"/>
      <c r="DD13" s="33"/>
      <c r="DE13" s="33"/>
      <c r="DF13" s="33"/>
      <c r="DG13" s="33"/>
      <c r="DH13" s="33"/>
      <c r="DI13" s="33"/>
      <c r="DJ13" s="33"/>
      <c r="DK13" s="33"/>
      <c r="DL13" s="33"/>
      <c r="DM13" s="33"/>
      <c r="DN13" s="33"/>
      <c r="DO13" s="33"/>
      <c r="DP13" s="33"/>
      <c r="DQ13" s="33"/>
      <c r="DR13" s="33"/>
      <c r="DS13" s="33"/>
      <c r="DT13" s="33"/>
      <c r="DU13" s="33"/>
      <c r="DV13" s="33"/>
      <c r="DW13" s="33"/>
      <c r="DX13" s="33"/>
      <c r="DY13" s="33"/>
      <c r="DZ13" s="33"/>
      <c r="EA13" s="33"/>
      <c r="EB13" s="33"/>
      <c r="EC13" s="33"/>
    </row>
    <row r="14" spans="1:133" x14ac:dyDescent="0.2">
      <c r="A14" s="13" t="s">
        <v>20</v>
      </c>
      <c r="B14" s="4" t="s">
        <v>5</v>
      </c>
      <c r="C14" s="44">
        <f>C13/(C8/60)/4180</f>
        <v>1.3024724821458034</v>
      </c>
      <c r="D14" s="5">
        <f t="shared" ref="D14:O14" si="11">D13/(D8/60)/4180</f>
        <v>2.146869149157479</v>
      </c>
      <c r="E14" s="5">
        <f t="shared" si="11"/>
        <v>2.6211774495527358</v>
      </c>
      <c r="F14" s="31">
        <f t="shared" si="11"/>
        <v>1.937799043062201</v>
      </c>
      <c r="G14" s="5">
        <f t="shared" si="11"/>
        <v>0.43062200956937802</v>
      </c>
      <c r="H14" s="5">
        <f t="shared" si="11"/>
        <v>0.43062200956937802</v>
      </c>
      <c r="I14" s="131">
        <f t="shared" si="11"/>
        <v>0.28708133971291866</v>
      </c>
      <c r="J14" s="5">
        <f>J13/(J8/60)/4180</f>
        <v>2.8708133971291865</v>
      </c>
      <c r="K14" s="74">
        <f>K13/(K8/60)/4180</f>
        <v>2.1531100478468899</v>
      </c>
      <c r="L14" s="100">
        <f t="shared" si="11"/>
        <v>2.445933014354067</v>
      </c>
      <c r="M14" s="100">
        <f t="shared" si="11"/>
        <v>0.88636363636363635</v>
      </c>
      <c r="N14" s="100">
        <f t="shared" si="11"/>
        <v>1.0550239234449761</v>
      </c>
      <c r="O14" s="100">
        <f t="shared" si="11"/>
        <v>1.3995215311004785</v>
      </c>
      <c r="P14" s="5">
        <f>P13/(P8/60)/4180</f>
        <v>1.7224880382775121</v>
      </c>
      <c r="Q14" s="5">
        <f>Q13/(Q8/60)/4180</f>
        <v>2.2966507177033493</v>
      </c>
      <c r="R14" s="74">
        <f t="shared" ref="R14" si="12">R13/(R8/60)/4180</f>
        <v>1.2918660287081341</v>
      </c>
      <c r="S14" s="70"/>
      <c r="T14" s="31">
        <f>T13/(T8/60)/4180</f>
        <v>0</v>
      </c>
      <c r="U14" s="31">
        <f>U13/(U8/60)/4180</f>
        <v>2.2349534122387307</v>
      </c>
      <c r="V14" s="70"/>
      <c r="W14" s="31">
        <f>W13/(W8/60)/4180</f>
        <v>2.2034751951649456</v>
      </c>
      <c r="X14" s="31">
        <f>X13/(X8/60)/4180</f>
        <v>2.2034751951649456</v>
      </c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3"/>
      <c r="AL14" s="33"/>
      <c r="AM14" s="33"/>
      <c r="AN14" s="33"/>
      <c r="AO14" s="33"/>
      <c r="AP14" s="33"/>
      <c r="AQ14" s="33"/>
      <c r="AR14" s="33"/>
      <c r="AS14" s="33"/>
      <c r="AT14" s="33"/>
      <c r="AU14" s="33"/>
      <c r="AV14" s="33"/>
      <c r="AW14" s="33"/>
      <c r="AX14" s="33"/>
      <c r="AY14" s="33"/>
      <c r="AZ14" s="33"/>
      <c r="BA14" s="33"/>
      <c r="BB14" s="33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  <c r="BZ14" s="33"/>
      <c r="CA14" s="33"/>
      <c r="CB14" s="33"/>
      <c r="CC14" s="33"/>
      <c r="CD14" s="33"/>
      <c r="CE14" s="33"/>
      <c r="CF14" s="33"/>
      <c r="CG14" s="33"/>
      <c r="CH14" s="33"/>
      <c r="CI14" s="33"/>
      <c r="CJ14" s="33"/>
      <c r="CK14" s="33"/>
      <c r="CL14" s="33"/>
      <c r="CM14" s="33"/>
      <c r="CN14" s="33"/>
      <c r="CO14" s="33"/>
      <c r="CP14" s="33"/>
      <c r="CQ14" s="33"/>
      <c r="CR14" s="33"/>
      <c r="CS14" s="33"/>
      <c r="CT14" s="33"/>
      <c r="CU14" s="33"/>
      <c r="CV14" s="33"/>
      <c r="CW14" s="33"/>
      <c r="CX14" s="33"/>
      <c r="CY14" s="33"/>
      <c r="CZ14" s="33"/>
      <c r="DA14" s="33"/>
      <c r="DB14" s="33"/>
      <c r="DC14" s="33"/>
      <c r="DD14" s="33"/>
      <c r="DE14" s="33"/>
      <c r="DF14" s="33"/>
      <c r="DG14" s="33"/>
      <c r="DH14" s="33"/>
      <c r="DI14" s="33"/>
      <c r="DJ14" s="33"/>
      <c r="DK14" s="33"/>
      <c r="DL14" s="33"/>
      <c r="DM14" s="33"/>
      <c r="DN14" s="33"/>
      <c r="DO14" s="33"/>
      <c r="DP14" s="33"/>
      <c r="DQ14" s="33"/>
      <c r="DR14" s="33"/>
      <c r="DS14" s="33"/>
      <c r="DT14" s="33"/>
      <c r="DU14" s="33"/>
      <c r="DV14" s="33"/>
      <c r="DW14" s="33"/>
      <c r="DX14" s="33"/>
      <c r="DY14" s="33"/>
      <c r="DZ14" s="33"/>
      <c r="EA14" s="33"/>
      <c r="EB14" s="33"/>
      <c r="EC14" s="33"/>
    </row>
    <row r="15" spans="1:133" x14ac:dyDescent="0.2">
      <c r="A15" s="13"/>
      <c r="B15" s="4"/>
      <c r="C15" s="44"/>
      <c r="D15" s="4"/>
      <c r="E15" s="4"/>
      <c r="F15" s="32"/>
      <c r="G15" s="4"/>
      <c r="H15" s="4"/>
      <c r="I15" s="32"/>
      <c r="J15" s="4"/>
      <c r="K15" s="123"/>
      <c r="L15" s="103"/>
      <c r="M15" s="102"/>
      <c r="N15" s="102"/>
      <c r="O15" s="102"/>
      <c r="P15" s="4"/>
      <c r="Q15" s="4"/>
      <c r="R15" s="84"/>
      <c r="S15" s="72"/>
      <c r="T15" s="32"/>
      <c r="U15" s="32"/>
      <c r="V15" s="72"/>
      <c r="W15" s="32"/>
      <c r="X15" s="32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3"/>
      <c r="AY15" s="33"/>
      <c r="AZ15" s="33"/>
      <c r="BA15" s="33"/>
      <c r="BB15" s="33"/>
      <c r="BC15" s="33"/>
      <c r="BD15" s="33"/>
      <c r="BE15" s="33"/>
      <c r="BF15" s="33"/>
      <c r="BG15" s="33"/>
      <c r="BH15" s="33"/>
      <c r="BI15" s="33"/>
      <c r="BJ15" s="33"/>
      <c r="BK15" s="33"/>
      <c r="BL15" s="33"/>
      <c r="BM15" s="33"/>
      <c r="BN15" s="33"/>
      <c r="BO15" s="33"/>
      <c r="BP15" s="33"/>
      <c r="BQ15" s="33"/>
      <c r="BR15" s="33"/>
      <c r="BS15" s="33"/>
      <c r="BT15" s="33"/>
      <c r="BU15" s="33"/>
      <c r="BV15" s="33"/>
      <c r="BW15" s="33"/>
      <c r="BX15" s="33"/>
      <c r="BY15" s="33"/>
      <c r="BZ15" s="33"/>
      <c r="CA15" s="33"/>
      <c r="CB15" s="33"/>
      <c r="CC15" s="33"/>
      <c r="CD15" s="33"/>
      <c r="CE15" s="33"/>
      <c r="CF15" s="33"/>
      <c r="CG15" s="33"/>
      <c r="CH15" s="33"/>
      <c r="CI15" s="33"/>
      <c r="CJ15" s="33"/>
      <c r="CK15" s="33"/>
      <c r="CL15" s="33"/>
      <c r="CM15" s="33"/>
      <c r="CN15" s="33"/>
      <c r="CO15" s="33"/>
      <c r="CP15" s="33"/>
      <c r="CQ15" s="33"/>
      <c r="CR15" s="33"/>
      <c r="CS15" s="33"/>
      <c r="CT15" s="33"/>
      <c r="CU15" s="33"/>
      <c r="CV15" s="33"/>
      <c r="CW15" s="33"/>
      <c r="CX15" s="33"/>
      <c r="CY15" s="33"/>
      <c r="CZ15" s="33"/>
      <c r="DA15" s="33"/>
      <c r="DB15" s="33"/>
      <c r="DC15" s="33"/>
      <c r="DD15" s="33"/>
      <c r="DE15" s="33"/>
      <c r="DF15" s="33"/>
      <c r="DG15" s="33"/>
      <c r="DH15" s="33"/>
      <c r="DI15" s="33"/>
      <c r="DJ15" s="33"/>
      <c r="DK15" s="33"/>
      <c r="DL15" s="33"/>
      <c r="DM15" s="33"/>
      <c r="DN15" s="33"/>
      <c r="DO15" s="33"/>
      <c r="DP15" s="33"/>
      <c r="DQ15" s="33"/>
      <c r="DR15" s="33"/>
      <c r="DS15" s="33"/>
      <c r="DT15" s="33"/>
      <c r="DU15" s="33"/>
      <c r="DV15" s="33"/>
      <c r="DW15" s="33"/>
      <c r="DX15" s="33"/>
      <c r="DY15" s="33"/>
      <c r="DZ15" s="33"/>
      <c r="EA15" s="33"/>
      <c r="EB15" s="33"/>
      <c r="EC15" s="33"/>
    </row>
    <row r="16" spans="1:133" s="40" customFormat="1" x14ac:dyDescent="0.2">
      <c r="A16" s="13" t="s">
        <v>9</v>
      </c>
      <c r="B16" s="4" t="s">
        <v>10</v>
      </c>
      <c r="C16" s="44">
        <v>1</v>
      </c>
      <c r="D16" s="30">
        <f>'Present YE1 '!D16</f>
        <v>9</v>
      </c>
      <c r="E16" s="30">
        <f>'Present YE1 '!E16</f>
        <v>9</v>
      </c>
      <c r="F16" s="30">
        <f>'Present YE1 '!F16</f>
        <v>18</v>
      </c>
      <c r="G16" s="30">
        <f>'Present YE1 '!H16</f>
        <v>6</v>
      </c>
      <c r="H16" s="30">
        <f>'Present YE1 '!I16</f>
        <v>6</v>
      </c>
      <c r="I16" s="30">
        <v>18</v>
      </c>
      <c r="J16" s="30">
        <f>'Present YE1 '!N16</f>
        <v>12</v>
      </c>
      <c r="K16" s="30">
        <v>18</v>
      </c>
      <c r="L16" s="101">
        <f>'Present YE1 '!M16</f>
        <v>6</v>
      </c>
      <c r="M16" s="101">
        <f>'Present YE1 '!O16</f>
        <v>6</v>
      </c>
      <c r="N16" s="101">
        <f>'Present YE1 '!P16</f>
        <v>30</v>
      </c>
      <c r="O16" s="101">
        <f>'Present YE1 '!Q16</f>
        <v>4</v>
      </c>
      <c r="P16" s="30">
        <v>6</v>
      </c>
      <c r="Q16" s="30">
        <v>6</v>
      </c>
      <c r="R16" s="32">
        <v>18</v>
      </c>
      <c r="S16" s="70"/>
      <c r="T16" s="30">
        <v>1</v>
      </c>
      <c r="U16" s="30">
        <v>8</v>
      </c>
      <c r="V16" s="70"/>
      <c r="W16" s="30">
        <v>1</v>
      </c>
      <c r="X16" s="30">
        <v>8</v>
      </c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3"/>
      <c r="AX16" s="33"/>
      <c r="AY16" s="33"/>
      <c r="AZ16" s="33"/>
      <c r="BA16" s="33"/>
      <c r="BB16" s="33"/>
      <c r="BC16" s="33"/>
      <c r="BD16" s="33"/>
      <c r="BE16" s="33"/>
      <c r="BF16" s="33"/>
      <c r="BG16" s="33"/>
      <c r="BH16" s="33"/>
      <c r="BI16" s="33"/>
      <c r="BJ16" s="33"/>
      <c r="BK16" s="33"/>
      <c r="BL16" s="33"/>
      <c r="BM16" s="33"/>
      <c r="BN16" s="33"/>
      <c r="BO16" s="33"/>
      <c r="BP16" s="33"/>
      <c r="BQ16" s="33"/>
      <c r="BR16" s="33"/>
      <c r="BS16" s="33"/>
      <c r="BT16" s="33"/>
      <c r="BU16" s="33"/>
      <c r="BV16" s="33"/>
      <c r="BW16" s="33"/>
      <c r="BX16" s="33"/>
      <c r="BY16" s="33"/>
      <c r="BZ16" s="33"/>
      <c r="CA16" s="33"/>
      <c r="CB16" s="33"/>
      <c r="CC16" s="33"/>
      <c r="CD16" s="33"/>
      <c r="CE16" s="33"/>
      <c r="CF16" s="33"/>
      <c r="CG16" s="33"/>
      <c r="CH16" s="33"/>
      <c r="CI16" s="33"/>
      <c r="CJ16" s="33"/>
      <c r="CK16" s="33"/>
      <c r="CL16" s="33"/>
      <c r="CM16" s="33"/>
      <c r="CN16" s="33"/>
      <c r="CO16" s="33"/>
      <c r="CP16" s="33"/>
      <c r="CQ16" s="33"/>
      <c r="CR16" s="33"/>
      <c r="CS16" s="33"/>
      <c r="CT16" s="33"/>
      <c r="CU16" s="33"/>
      <c r="CV16" s="33"/>
      <c r="CW16" s="33"/>
      <c r="CX16" s="33"/>
      <c r="CY16" s="33"/>
      <c r="CZ16" s="33"/>
      <c r="DA16" s="33"/>
      <c r="DB16" s="33"/>
      <c r="DC16" s="33"/>
      <c r="DD16" s="33"/>
      <c r="DE16" s="33"/>
      <c r="DF16" s="33"/>
      <c r="DG16" s="33"/>
      <c r="DH16" s="33"/>
      <c r="DI16" s="33"/>
      <c r="DJ16" s="33"/>
      <c r="DK16" s="33"/>
      <c r="DL16" s="33"/>
      <c r="DM16" s="33"/>
      <c r="DN16" s="33"/>
      <c r="DO16" s="33"/>
      <c r="DP16" s="33"/>
      <c r="DQ16" s="33"/>
      <c r="DR16" s="33"/>
      <c r="DS16" s="33"/>
      <c r="DT16" s="33"/>
      <c r="DU16" s="33"/>
      <c r="DV16" s="33"/>
      <c r="DW16" s="33"/>
      <c r="DX16" s="33"/>
      <c r="DY16" s="33"/>
      <c r="DZ16" s="33"/>
      <c r="EA16" s="33"/>
      <c r="EB16" s="33"/>
      <c r="EC16" s="33"/>
    </row>
    <row r="17" spans="1:133" x14ac:dyDescent="0.2">
      <c r="A17" s="13" t="s">
        <v>19</v>
      </c>
      <c r="B17" s="4" t="s">
        <v>56</v>
      </c>
      <c r="C17" s="44">
        <f>SUM(D17:R17)-SUM(K17:O17)</f>
        <v>329.4</v>
      </c>
      <c r="D17" s="4">
        <f>D16*D8</f>
        <v>20.7</v>
      </c>
      <c r="E17" s="4">
        <f t="shared" ref="E17:X17" si="13">E16*E8</f>
        <v>20.7</v>
      </c>
      <c r="F17" s="32">
        <f t="shared" si="13"/>
        <v>72</v>
      </c>
      <c r="G17" s="4">
        <f t="shared" si="13"/>
        <v>12</v>
      </c>
      <c r="H17" s="4">
        <f t="shared" si="13"/>
        <v>12</v>
      </c>
      <c r="I17" s="32">
        <f>I16*I8</f>
        <v>36</v>
      </c>
      <c r="J17" s="129">
        <f>J16*J8</f>
        <v>24</v>
      </c>
      <c r="K17" s="81">
        <f>K16*K8</f>
        <v>36</v>
      </c>
      <c r="L17" s="104">
        <f t="shared" si="13"/>
        <v>30</v>
      </c>
      <c r="M17" s="102">
        <f t="shared" si="13"/>
        <v>24</v>
      </c>
      <c r="N17" s="102">
        <f t="shared" si="13"/>
        <v>60</v>
      </c>
      <c r="O17" s="102">
        <f t="shared" si="13"/>
        <v>16</v>
      </c>
      <c r="P17" s="4">
        <f>P16*P8</f>
        <v>24</v>
      </c>
      <c r="Q17" s="4">
        <f t="shared" si="13"/>
        <v>36</v>
      </c>
      <c r="R17" s="32">
        <f>R16*R8</f>
        <v>72</v>
      </c>
      <c r="S17" s="72"/>
      <c r="T17" s="32">
        <f t="shared" si="13"/>
        <v>91.2</v>
      </c>
      <c r="U17" s="32">
        <f t="shared" si="13"/>
        <v>91.2</v>
      </c>
      <c r="V17" s="72"/>
      <c r="W17" s="32">
        <f t="shared" si="13"/>
        <v>91.2</v>
      </c>
      <c r="X17" s="32">
        <f t="shared" si="13"/>
        <v>91.2</v>
      </c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3"/>
      <c r="BA17" s="33"/>
      <c r="BB17" s="33"/>
      <c r="BC17" s="33"/>
      <c r="BD17" s="33"/>
      <c r="BE17" s="33"/>
      <c r="BF17" s="33"/>
      <c r="BG17" s="33"/>
      <c r="BH17" s="33"/>
      <c r="BI17" s="33"/>
      <c r="BJ17" s="33"/>
      <c r="BK17" s="33"/>
      <c r="BL17" s="33"/>
      <c r="BM17" s="33"/>
      <c r="BN17" s="33"/>
      <c r="BO17" s="33"/>
      <c r="BP17" s="33"/>
      <c r="BQ17" s="33"/>
      <c r="BR17" s="33"/>
      <c r="BS17" s="33"/>
      <c r="BT17" s="33"/>
      <c r="BU17" s="33"/>
      <c r="BV17" s="33"/>
      <c r="BW17" s="33"/>
      <c r="BX17" s="33"/>
      <c r="BY17" s="33"/>
      <c r="BZ17" s="33"/>
      <c r="CA17" s="33"/>
      <c r="CB17" s="33"/>
      <c r="CC17" s="33"/>
      <c r="CD17" s="33"/>
      <c r="CE17" s="33"/>
      <c r="CF17" s="33"/>
      <c r="CG17" s="33"/>
      <c r="CH17" s="33"/>
      <c r="CI17" s="33"/>
      <c r="CJ17" s="33"/>
      <c r="CK17" s="33"/>
      <c r="CL17" s="33"/>
      <c r="CM17" s="33"/>
      <c r="CN17" s="33"/>
      <c r="CO17" s="33"/>
      <c r="CP17" s="33"/>
      <c r="CQ17" s="33"/>
      <c r="CR17" s="33"/>
      <c r="CS17" s="33"/>
      <c r="CT17" s="33"/>
      <c r="CU17" s="33"/>
      <c r="CV17" s="33"/>
      <c r="CW17" s="33"/>
      <c r="CX17" s="33"/>
      <c r="CY17" s="33"/>
      <c r="CZ17" s="33"/>
      <c r="DA17" s="33"/>
      <c r="DB17" s="33"/>
      <c r="DC17" s="33"/>
      <c r="DD17" s="33"/>
      <c r="DE17" s="33"/>
      <c r="DF17" s="33"/>
      <c r="DG17" s="33"/>
      <c r="DH17" s="33"/>
      <c r="DI17" s="33"/>
      <c r="DJ17" s="33"/>
      <c r="DK17" s="33"/>
      <c r="DL17" s="33"/>
      <c r="DM17" s="33"/>
      <c r="DN17" s="33"/>
      <c r="DO17" s="33"/>
      <c r="DP17" s="33"/>
      <c r="DQ17" s="33"/>
      <c r="DR17" s="33"/>
      <c r="DS17" s="33"/>
      <c r="DT17" s="33"/>
      <c r="DU17" s="33"/>
      <c r="DV17" s="33"/>
      <c r="DW17" s="33"/>
      <c r="DX17" s="33"/>
      <c r="DY17" s="33"/>
      <c r="DZ17" s="33"/>
      <c r="EA17" s="33"/>
      <c r="EB17" s="33"/>
      <c r="EC17" s="33"/>
    </row>
    <row r="18" spans="1:133" x14ac:dyDescent="0.2">
      <c r="A18" s="13" t="s">
        <v>22</v>
      </c>
      <c r="B18" s="4" t="s">
        <v>8</v>
      </c>
      <c r="C18" s="44">
        <f>SUM(D18:R18)-SUM(K18:O18)</f>
        <v>33156</v>
      </c>
      <c r="D18" s="6">
        <f t="shared" ref="D18:L18" si="14">D16*D13</f>
        <v>3096</v>
      </c>
      <c r="E18" s="6">
        <f t="shared" si="14"/>
        <v>3780</v>
      </c>
      <c r="F18" s="30">
        <f t="shared" si="14"/>
        <v>9720</v>
      </c>
      <c r="G18" s="6">
        <f t="shared" si="14"/>
        <v>360</v>
      </c>
      <c r="H18" s="6">
        <f t="shared" si="14"/>
        <v>360</v>
      </c>
      <c r="I18" s="6">
        <f>I16*I13</f>
        <v>720</v>
      </c>
      <c r="J18" s="6"/>
      <c r="K18" s="6">
        <f>K16*K13</f>
        <v>5400</v>
      </c>
      <c r="L18" s="101">
        <f t="shared" si="14"/>
        <v>5112</v>
      </c>
      <c r="M18" s="101">
        <f t="shared" ref="M18:O18" si="15">M16*M13</f>
        <v>1482</v>
      </c>
      <c r="N18" s="101">
        <f t="shared" si="15"/>
        <v>4410</v>
      </c>
      <c r="O18" s="101">
        <f t="shared" si="15"/>
        <v>1560</v>
      </c>
      <c r="P18" s="6">
        <f>P16*P13</f>
        <v>2880</v>
      </c>
      <c r="Q18" s="6">
        <f>Q16*Q13</f>
        <v>5760</v>
      </c>
      <c r="R18" s="30">
        <f t="shared" ref="R18" si="16">R16*R13</f>
        <v>6480</v>
      </c>
      <c r="S18" s="71"/>
      <c r="T18" s="30">
        <f>U18</f>
        <v>14200</v>
      </c>
      <c r="U18" s="30">
        <f>U16*U13</f>
        <v>14200</v>
      </c>
      <c r="V18" s="71"/>
      <c r="W18" s="30">
        <f>X18</f>
        <v>14000</v>
      </c>
      <c r="X18" s="30">
        <f>X16*X13</f>
        <v>14000</v>
      </c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33"/>
      <c r="AS18" s="33"/>
      <c r="AT18" s="33"/>
      <c r="AU18" s="33"/>
      <c r="AV18" s="33"/>
      <c r="AW18" s="33"/>
      <c r="AX18" s="33"/>
      <c r="AY18" s="33"/>
      <c r="AZ18" s="33"/>
      <c r="BA18" s="33"/>
      <c r="BB18" s="33"/>
      <c r="BC18" s="33"/>
      <c r="BD18" s="33"/>
      <c r="BE18" s="33"/>
      <c r="BF18" s="33"/>
      <c r="BG18" s="33"/>
      <c r="BH18" s="33"/>
      <c r="BI18" s="33"/>
      <c r="BJ18" s="33"/>
      <c r="BK18" s="33"/>
      <c r="BL18" s="33"/>
      <c r="BM18" s="33"/>
      <c r="BN18" s="33"/>
      <c r="BO18" s="33"/>
      <c r="BP18" s="33"/>
      <c r="BQ18" s="33"/>
      <c r="BR18" s="33"/>
      <c r="BS18" s="33"/>
      <c r="BT18" s="33"/>
      <c r="BU18" s="33"/>
      <c r="BV18" s="33"/>
      <c r="BW18" s="33"/>
      <c r="BX18" s="33"/>
      <c r="BY18" s="33"/>
      <c r="BZ18" s="33"/>
      <c r="CA18" s="33"/>
      <c r="CB18" s="33"/>
      <c r="CC18" s="33"/>
      <c r="CD18" s="33"/>
      <c r="CE18" s="33"/>
      <c r="CF18" s="33"/>
      <c r="CG18" s="33"/>
      <c r="CH18" s="33"/>
      <c r="CI18" s="33"/>
      <c r="CJ18" s="33"/>
      <c r="CK18" s="33"/>
      <c r="CL18" s="33"/>
      <c r="CM18" s="33"/>
      <c r="CN18" s="33"/>
      <c r="CO18" s="33"/>
      <c r="CP18" s="33"/>
      <c r="CQ18" s="33"/>
      <c r="CR18" s="33"/>
      <c r="CS18" s="33"/>
      <c r="CT18" s="33"/>
      <c r="CU18" s="33"/>
      <c r="CV18" s="33"/>
      <c r="CW18" s="33"/>
      <c r="CX18" s="33"/>
      <c r="CY18" s="33"/>
      <c r="CZ18" s="33"/>
      <c r="DA18" s="33"/>
      <c r="DB18" s="33"/>
      <c r="DC18" s="33"/>
      <c r="DD18" s="33"/>
      <c r="DE18" s="33"/>
      <c r="DF18" s="33"/>
      <c r="DG18" s="33"/>
      <c r="DH18" s="33"/>
      <c r="DI18" s="33"/>
      <c r="DJ18" s="33"/>
      <c r="DK18" s="33"/>
      <c r="DL18" s="33"/>
      <c r="DM18" s="33"/>
      <c r="DN18" s="33"/>
      <c r="DO18" s="33"/>
      <c r="DP18" s="33"/>
      <c r="DQ18" s="33"/>
      <c r="DR18" s="33"/>
      <c r="DS18" s="33"/>
      <c r="DT18" s="33"/>
      <c r="DU18" s="33"/>
      <c r="DV18" s="33"/>
      <c r="DW18" s="33"/>
      <c r="DX18" s="33"/>
      <c r="DY18" s="33"/>
      <c r="DZ18" s="33"/>
      <c r="EA18" s="33"/>
      <c r="EB18" s="33"/>
      <c r="EC18" s="33"/>
    </row>
    <row r="19" spans="1:133" x14ac:dyDescent="0.2">
      <c r="A19" s="13" t="s">
        <v>24</v>
      </c>
      <c r="B19" s="4" t="s">
        <v>8</v>
      </c>
      <c r="C19" s="45"/>
      <c r="D19" s="4"/>
      <c r="E19" s="4"/>
      <c r="F19" s="4"/>
      <c r="G19" s="4"/>
      <c r="H19" s="4"/>
      <c r="I19" s="4"/>
      <c r="J19" s="4">
        <f>J16*J13</f>
        <v>4800</v>
      </c>
      <c r="K19" s="105"/>
      <c r="L19" s="105"/>
      <c r="M19" s="105"/>
      <c r="N19" s="105"/>
      <c r="O19" s="105"/>
      <c r="P19" s="4"/>
      <c r="Q19" s="4"/>
      <c r="R19" s="68"/>
      <c r="S19" s="59"/>
      <c r="T19" s="32"/>
      <c r="U19" s="32"/>
      <c r="V19" s="59"/>
      <c r="W19" s="32"/>
      <c r="X19" s="32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33"/>
      <c r="AM19" s="33"/>
      <c r="AN19" s="33"/>
      <c r="AO19" s="33"/>
      <c r="AP19" s="33"/>
      <c r="AQ19" s="33"/>
      <c r="AR19" s="33"/>
      <c r="AS19" s="33"/>
      <c r="AT19" s="33"/>
      <c r="AU19" s="33"/>
      <c r="AV19" s="33"/>
      <c r="AW19" s="33"/>
      <c r="AX19" s="33"/>
      <c r="AY19" s="33"/>
      <c r="AZ19" s="33"/>
      <c r="BA19" s="33"/>
      <c r="BB19" s="33"/>
      <c r="BC19" s="33"/>
      <c r="BD19" s="33"/>
      <c r="BE19" s="33"/>
      <c r="BF19" s="33"/>
      <c r="BG19" s="33"/>
      <c r="BH19" s="33"/>
      <c r="BI19" s="33"/>
      <c r="BJ19" s="33"/>
      <c r="BK19" s="33"/>
      <c r="BL19" s="33"/>
      <c r="BM19" s="33"/>
      <c r="BN19" s="33"/>
      <c r="BO19" s="33"/>
      <c r="BP19" s="33"/>
      <c r="BQ19" s="33"/>
      <c r="BR19" s="33"/>
      <c r="BS19" s="33"/>
      <c r="BT19" s="33"/>
      <c r="BU19" s="33"/>
      <c r="BV19" s="33"/>
      <c r="BW19" s="33"/>
      <c r="BX19" s="33"/>
      <c r="BY19" s="33"/>
      <c r="BZ19" s="33"/>
      <c r="CA19" s="33"/>
      <c r="CB19" s="33"/>
      <c r="CC19" s="33"/>
      <c r="CD19" s="33"/>
      <c r="CE19" s="33"/>
      <c r="CF19" s="33"/>
      <c r="CG19" s="33"/>
      <c r="CH19" s="33"/>
      <c r="CI19" s="33"/>
      <c r="CJ19" s="33"/>
      <c r="CK19" s="33"/>
      <c r="CL19" s="33"/>
      <c r="CM19" s="33"/>
      <c r="CN19" s="33"/>
      <c r="CO19" s="33"/>
      <c r="CP19" s="33"/>
      <c r="CQ19" s="33"/>
      <c r="CR19" s="33"/>
      <c r="CS19" s="33"/>
      <c r="CT19" s="33"/>
      <c r="CU19" s="33"/>
      <c r="CV19" s="33"/>
      <c r="CW19" s="33"/>
      <c r="CX19" s="33"/>
      <c r="CY19" s="33"/>
      <c r="CZ19" s="33"/>
      <c r="DA19" s="33"/>
      <c r="DB19" s="33"/>
      <c r="DC19" s="33"/>
      <c r="DD19" s="33"/>
      <c r="DE19" s="33"/>
      <c r="DF19" s="33"/>
      <c r="DG19" s="33"/>
      <c r="DH19" s="33"/>
      <c r="DI19" s="33"/>
      <c r="DJ19" s="33"/>
      <c r="DK19" s="33"/>
      <c r="DL19" s="33"/>
      <c r="DM19" s="33"/>
      <c r="DN19" s="33"/>
      <c r="DO19" s="33"/>
      <c r="DP19" s="33"/>
      <c r="DQ19" s="33"/>
      <c r="DR19" s="33"/>
      <c r="DS19" s="33"/>
      <c r="DT19" s="33"/>
      <c r="DU19" s="33"/>
      <c r="DV19" s="33"/>
      <c r="DW19" s="33"/>
      <c r="DX19" s="33"/>
      <c r="DY19" s="33"/>
      <c r="DZ19" s="33"/>
      <c r="EA19" s="33"/>
      <c r="EB19" s="33"/>
      <c r="EC19" s="33"/>
    </row>
    <row r="20" spans="1:133" x14ac:dyDescent="0.2">
      <c r="A20" s="13"/>
      <c r="B20" s="4"/>
      <c r="C20" s="45"/>
      <c r="D20" s="4"/>
      <c r="E20" s="4"/>
      <c r="F20" s="4"/>
      <c r="G20" s="4"/>
      <c r="H20" s="4"/>
      <c r="I20" s="4"/>
      <c r="J20" s="4"/>
      <c r="K20" s="105"/>
      <c r="L20" s="105"/>
      <c r="M20" s="105"/>
      <c r="N20" s="105"/>
      <c r="O20" s="105"/>
      <c r="P20" s="4"/>
      <c r="Q20" s="4"/>
      <c r="R20" s="68"/>
      <c r="S20" s="59"/>
      <c r="T20" s="32"/>
      <c r="U20" s="32"/>
      <c r="V20" s="59"/>
      <c r="W20" s="32"/>
      <c r="X20" s="32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  <c r="AQ20" s="33"/>
      <c r="AR20" s="33"/>
      <c r="AS20" s="33"/>
      <c r="AT20" s="33"/>
      <c r="AU20" s="33"/>
      <c r="AV20" s="33"/>
      <c r="AW20" s="33"/>
      <c r="AX20" s="33"/>
      <c r="AY20" s="33"/>
      <c r="AZ20" s="33"/>
      <c r="BA20" s="33"/>
      <c r="BB20" s="33"/>
      <c r="BC20" s="33"/>
      <c r="BD20" s="33"/>
      <c r="BE20" s="33"/>
      <c r="BF20" s="33"/>
      <c r="BG20" s="33"/>
      <c r="BH20" s="33"/>
      <c r="BI20" s="33"/>
      <c r="BJ20" s="33"/>
      <c r="BK20" s="33"/>
      <c r="BL20" s="33"/>
      <c r="BM20" s="33"/>
      <c r="BN20" s="33"/>
      <c r="BO20" s="33"/>
      <c r="BP20" s="33"/>
      <c r="BQ20" s="33"/>
      <c r="BR20" s="33"/>
      <c r="BS20" s="33"/>
      <c r="BT20" s="33"/>
      <c r="BU20" s="33"/>
      <c r="BV20" s="33"/>
      <c r="BW20" s="33"/>
      <c r="BX20" s="33"/>
      <c r="BY20" s="33"/>
      <c r="BZ20" s="33"/>
      <c r="CA20" s="33"/>
      <c r="CB20" s="33"/>
      <c r="CC20" s="33"/>
      <c r="CD20" s="33"/>
      <c r="CE20" s="33"/>
      <c r="CF20" s="33"/>
      <c r="CG20" s="33"/>
      <c r="CH20" s="33"/>
      <c r="CI20" s="33"/>
      <c r="CJ20" s="33"/>
      <c r="CK20" s="33"/>
      <c r="CL20" s="33"/>
      <c r="CM20" s="33"/>
      <c r="CN20" s="33"/>
      <c r="CO20" s="33"/>
      <c r="CP20" s="33"/>
      <c r="CQ20" s="33"/>
      <c r="CR20" s="33"/>
      <c r="CS20" s="33"/>
      <c r="CT20" s="33"/>
      <c r="CU20" s="33"/>
      <c r="CV20" s="33"/>
      <c r="CW20" s="33"/>
      <c r="CX20" s="33"/>
      <c r="CY20" s="33"/>
      <c r="CZ20" s="33"/>
      <c r="DA20" s="33"/>
      <c r="DB20" s="33"/>
      <c r="DC20" s="33"/>
      <c r="DD20" s="33"/>
      <c r="DE20" s="33"/>
      <c r="DF20" s="33"/>
      <c r="DG20" s="33"/>
      <c r="DH20" s="33"/>
      <c r="DI20" s="33"/>
      <c r="DJ20" s="33"/>
      <c r="DK20" s="33"/>
      <c r="DL20" s="33"/>
      <c r="DM20" s="33"/>
      <c r="DN20" s="33"/>
      <c r="DO20" s="33"/>
      <c r="DP20" s="33"/>
      <c r="DQ20" s="33"/>
      <c r="DR20" s="33"/>
      <c r="DS20" s="33"/>
      <c r="DT20" s="33"/>
      <c r="DU20" s="33"/>
      <c r="DV20" s="33"/>
      <c r="DW20" s="33"/>
      <c r="DX20" s="33"/>
      <c r="DY20" s="33"/>
      <c r="DZ20" s="33"/>
      <c r="EA20" s="33"/>
      <c r="EB20" s="33"/>
      <c r="EC20" s="33"/>
    </row>
    <row r="21" spans="1:133" x14ac:dyDescent="0.2">
      <c r="A21" s="13" t="s">
        <v>15</v>
      </c>
      <c r="B21" s="4" t="s">
        <v>0</v>
      </c>
      <c r="C21" s="45"/>
      <c r="D21" s="4"/>
      <c r="E21" s="4"/>
      <c r="F21" s="4"/>
      <c r="G21" s="4"/>
      <c r="H21" s="4"/>
      <c r="I21" s="4"/>
      <c r="J21" s="4"/>
      <c r="K21" s="102"/>
      <c r="L21" s="102" t="s">
        <v>44</v>
      </c>
      <c r="M21" s="102"/>
      <c r="N21" s="102"/>
      <c r="O21" s="102"/>
      <c r="P21" s="4"/>
      <c r="Q21" s="4" t="s">
        <v>35</v>
      </c>
      <c r="R21" s="68"/>
      <c r="S21" s="72"/>
      <c r="T21" s="32"/>
      <c r="U21" s="32"/>
      <c r="V21" s="72"/>
      <c r="W21" s="32"/>
      <c r="X21" s="32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3"/>
      <c r="BC21" s="33"/>
      <c r="BD21" s="33"/>
      <c r="BE21" s="33"/>
      <c r="BF21" s="33"/>
      <c r="BG21" s="33"/>
      <c r="BH21" s="33"/>
      <c r="BI21" s="33"/>
      <c r="BJ21" s="33"/>
      <c r="BK21" s="33"/>
      <c r="BL21" s="33"/>
      <c r="BM21" s="33"/>
      <c r="BN21" s="33"/>
      <c r="BO21" s="33"/>
      <c r="BP21" s="33"/>
      <c r="BQ21" s="33"/>
      <c r="BR21" s="33"/>
      <c r="BS21" s="33"/>
      <c r="BT21" s="33"/>
      <c r="BU21" s="33"/>
      <c r="BV21" s="33"/>
      <c r="BW21" s="33"/>
      <c r="BX21" s="33"/>
      <c r="BY21" s="33"/>
      <c r="BZ21" s="33"/>
      <c r="CA21" s="33"/>
      <c r="CB21" s="33"/>
      <c r="CC21" s="33"/>
      <c r="CD21" s="33"/>
      <c r="CE21" s="33"/>
      <c r="CF21" s="33"/>
      <c r="CG21" s="33"/>
      <c r="CH21" s="33"/>
      <c r="CI21" s="33"/>
      <c r="CJ21" s="33"/>
      <c r="CK21" s="33"/>
      <c r="CL21" s="33"/>
      <c r="CM21" s="33"/>
      <c r="CN21" s="33"/>
      <c r="CO21" s="33"/>
      <c r="CP21" s="33"/>
      <c r="CQ21" s="33"/>
      <c r="CR21" s="33"/>
      <c r="CS21" s="33"/>
      <c r="CT21" s="33"/>
      <c r="CU21" s="33"/>
      <c r="CV21" s="33"/>
      <c r="CW21" s="33"/>
      <c r="CX21" s="33"/>
      <c r="CY21" s="33"/>
      <c r="CZ21" s="33"/>
      <c r="DA21" s="33"/>
      <c r="DB21" s="33"/>
      <c r="DC21" s="33"/>
      <c r="DD21" s="33"/>
      <c r="DE21" s="33"/>
      <c r="DF21" s="33"/>
      <c r="DG21" s="33"/>
      <c r="DH21" s="33"/>
      <c r="DI21" s="33"/>
      <c r="DJ21" s="33"/>
      <c r="DK21" s="33"/>
      <c r="DL21" s="33"/>
      <c r="DM21" s="33"/>
      <c r="DN21" s="33"/>
      <c r="DO21" s="33"/>
      <c r="DP21" s="33"/>
      <c r="DQ21" s="33"/>
      <c r="DR21" s="33"/>
      <c r="DS21" s="33"/>
      <c r="DT21" s="33"/>
      <c r="DU21" s="33"/>
      <c r="DV21" s="33"/>
      <c r="DW21" s="33"/>
      <c r="DX21" s="33"/>
      <c r="DY21" s="33"/>
      <c r="DZ21" s="33"/>
      <c r="EA21" s="33"/>
      <c r="EB21" s="33"/>
      <c r="EC21" s="33"/>
    </row>
    <row r="22" spans="1:133" x14ac:dyDescent="0.2">
      <c r="A22" s="12"/>
      <c r="B22" s="10"/>
      <c r="C22" s="10"/>
      <c r="D22" s="10"/>
      <c r="E22" s="10"/>
      <c r="F22" s="10"/>
      <c r="G22" s="10"/>
      <c r="H22" s="10"/>
      <c r="I22" s="10"/>
      <c r="J22" s="10"/>
      <c r="K22" s="106"/>
      <c r="L22" s="106"/>
      <c r="M22" s="106"/>
      <c r="N22" s="106"/>
      <c r="O22" s="106"/>
      <c r="P22" s="10"/>
      <c r="Q22" s="10"/>
      <c r="R22" s="2"/>
      <c r="S22" s="12"/>
      <c r="T22" s="10"/>
      <c r="U22" s="10"/>
      <c r="V22" s="12"/>
      <c r="W22" s="10"/>
      <c r="X22" s="10"/>
    </row>
    <row r="23" spans="1:133" x14ac:dyDescent="0.2">
      <c r="A23" s="35" t="s">
        <v>72</v>
      </c>
      <c r="B23" s="33"/>
      <c r="C23" s="33"/>
      <c r="R23" s="2"/>
    </row>
    <row r="24" spans="1:133" x14ac:dyDescent="0.2">
      <c r="A24" s="16" t="s">
        <v>49</v>
      </c>
      <c r="B24" s="17" t="s">
        <v>7</v>
      </c>
      <c r="C24" s="18">
        <f>C8</f>
        <v>365.4</v>
      </c>
      <c r="D24" s="2"/>
      <c r="E24" s="2"/>
      <c r="F24" s="2"/>
      <c r="G24" s="2"/>
      <c r="H24" s="2"/>
      <c r="I24" s="2"/>
      <c r="J24" s="2"/>
      <c r="P24" s="2"/>
      <c r="Q24" s="2"/>
      <c r="R24" s="2"/>
      <c r="T24" s="2"/>
      <c r="U24" s="2"/>
      <c r="W24" s="2"/>
      <c r="X24" s="2"/>
    </row>
    <row r="25" spans="1:133" x14ac:dyDescent="0.2">
      <c r="A25" s="16" t="s">
        <v>23</v>
      </c>
      <c r="B25" s="17" t="s">
        <v>8</v>
      </c>
      <c r="C25" s="18">
        <f>C18/1000</f>
        <v>33.155999999999999</v>
      </c>
      <c r="D25" s="2"/>
      <c r="E25" s="2"/>
      <c r="F25" s="2"/>
      <c r="G25" s="2"/>
      <c r="H25" s="2"/>
      <c r="I25" s="2"/>
      <c r="J25" s="2"/>
      <c r="P25" s="2"/>
      <c r="Q25" s="2"/>
      <c r="R25" s="2"/>
      <c r="T25" s="2"/>
      <c r="U25" s="2"/>
      <c r="W25" s="2"/>
      <c r="X25" s="2"/>
    </row>
    <row r="26" spans="1:133" x14ac:dyDescent="0.2">
      <c r="A26" s="16" t="s">
        <v>21</v>
      </c>
      <c r="B26" s="17" t="s">
        <v>5</v>
      </c>
      <c r="C26" s="19">
        <f>C25/(C24/60)/4.18</f>
        <v>1.3024724821458034</v>
      </c>
      <c r="D26" s="2"/>
      <c r="E26" s="2"/>
      <c r="F26" s="2"/>
      <c r="G26" s="2"/>
      <c r="H26" s="2"/>
      <c r="I26" s="2"/>
      <c r="J26" s="2"/>
      <c r="P26" s="2"/>
      <c r="Q26" s="2"/>
      <c r="T26" s="2"/>
      <c r="U26" s="2"/>
      <c r="W26" s="2"/>
      <c r="X26" s="2"/>
    </row>
    <row r="27" spans="1:133" ht="18" x14ac:dyDescent="0.25">
      <c r="A27" s="20"/>
      <c r="U27" s="2"/>
      <c r="W27" s="2"/>
      <c r="X27" s="2"/>
    </row>
    <row r="28" spans="1:133" x14ac:dyDescent="0.2">
      <c r="A28" s="35" t="s">
        <v>73</v>
      </c>
      <c r="B28" s="33"/>
      <c r="C28" s="33"/>
    </row>
    <row r="29" spans="1:133" x14ac:dyDescent="0.2">
      <c r="A29" s="52" t="s">
        <v>50</v>
      </c>
      <c r="B29" s="53" t="s">
        <v>7</v>
      </c>
      <c r="C29" s="54">
        <f>T8+W8</f>
        <v>182.4</v>
      </c>
      <c r="D29" t="s">
        <v>57</v>
      </c>
      <c r="V29" s="2"/>
      <c r="W29" s="2"/>
    </row>
    <row r="30" spans="1:133" x14ac:dyDescent="0.2">
      <c r="A30" s="52" t="s">
        <v>23</v>
      </c>
      <c r="B30" s="53" t="s">
        <v>8</v>
      </c>
      <c r="C30" s="54">
        <f>T18+W18</f>
        <v>28200</v>
      </c>
      <c r="D30" t="s">
        <v>58</v>
      </c>
    </row>
    <row r="31" spans="1:133" x14ac:dyDescent="0.2">
      <c r="A31" s="52" t="s">
        <v>21</v>
      </c>
      <c r="B31" s="53" t="s">
        <v>5</v>
      </c>
      <c r="C31" s="55">
        <f>C30/(C29/60)/4180</f>
        <v>2.2192143037018379</v>
      </c>
    </row>
    <row r="33" spans="1:1" x14ac:dyDescent="0.2">
      <c r="A33" s="133" t="s">
        <v>128</v>
      </c>
    </row>
    <row r="34" spans="1:1" x14ac:dyDescent="0.2">
      <c r="A34" t="s">
        <v>129</v>
      </c>
    </row>
    <row r="35" spans="1:1" x14ac:dyDescent="0.2">
      <c r="A35" t="s">
        <v>130</v>
      </c>
    </row>
  </sheetData>
  <pageMargins left="0.75" right="0.75" top="1" bottom="1" header="0.3" footer="0.3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7"/>
  <sheetViews>
    <sheetView showGridLines="0" tabSelected="1" zoomScale="140" zoomScaleNormal="140" workbookViewId="0">
      <selection activeCell="K6" sqref="K6"/>
    </sheetView>
  </sheetViews>
  <sheetFormatPr defaultColWidth="8.85546875" defaultRowHeight="12.75" x14ac:dyDescent="0.2"/>
  <cols>
    <col min="1" max="1" width="22.7109375" customWidth="1"/>
    <col min="2" max="2" width="7.7109375" customWidth="1"/>
    <col min="3" max="3" width="8.7109375" customWidth="1"/>
    <col min="4" max="6" width="7.7109375" customWidth="1"/>
    <col min="7" max="7" width="9.7109375" customWidth="1"/>
    <col min="8" max="9" width="7.7109375" customWidth="1"/>
    <col min="10" max="10" width="0.140625" customWidth="1"/>
    <col min="11" max="34" width="8.85546875" style="60"/>
  </cols>
  <sheetData>
    <row r="1" spans="1:34" ht="18" x14ac:dyDescent="0.25">
      <c r="A1" s="20" t="s">
        <v>16</v>
      </c>
    </row>
    <row r="2" spans="1:34" x14ac:dyDescent="0.2">
      <c r="B2" s="136" t="s">
        <v>62</v>
      </c>
      <c r="C2" s="136"/>
      <c r="D2" s="136"/>
      <c r="E2" s="136"/>
      <c r="F2" s="136"/>
      <c r="G2" s="136"/>
      <c r="H2" s="136"/>
      <c r="I2" s="136"/>
      <c r="J2" s="36"/>
      <c r="K2" s="64"/>
      <c r="L2" s="64"/>
      <c r="M2" s="64"/>
      <c r="N2" s="64"/>
      <c r="O2" s="64"/>
    </row>
    <row r="3" spans="1:34" s="1" customFormat="1" ht="63.75" x14ac:dyDescent="0.2">
      <c r="A3" s="11"/>
      <c r="B3" s="14" t="s">
        <v>3</v>
      </c>
      <c r="C3" s="47" t="s">
        <v>12</v>
      </c>
      <c r="D3" s="14" t="s">
        <v>36</v>
      </c>
      <c r="E3" s="14" t="s">
        <v>37</v>
      </c>
      <c r="F3" s="14" t="s">
        <v>13</v>
      </c>
      <c r="G3" s="23" t="s">
        <v>52</v>
      </c>
      <c r="H3" s="14" t="s">
        <v>54</v>
      </c>
      <c r="I3" s="14" t="s">
        <v>55</v>
      </c>
      <c r="J3" s="7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  <c r="AB3" s="65"/>
      <c r="AC3" s="65"/>
      <c r="AD3" s="65"/>
      <c r="AE3" s="65"/>
      <c r="AF3" s="65"/>
      <c r="AG3" s="65"/>
      <c r="AH3" s="65"/>
    </row>
    <row r="4" spans="1:34" x14ac:dyDescent="0.2">
      <c r="A4" s="13" t="s">
        <v>1</v>
      </c>
      <c r="B4" s="4" t="s">
        <v>6</v>
      </c>
      <c r="C4" s="43">
        <v>48.26</v>
      </c>
      <c r="D4" s="5">
        <v>9.5250000000000004</v>
      </c>
      <c r="E4" s="22">
        <v>9.5250000000000004</v>
      </c>
      <c r="F4" s="5">
        <v>12.7</v>
      </c>
      <c r="G4" s="5">
        <v>12.7</v>
      </c>
      <c r="H4" s="5">
        <v>12.7</v>
      </c>
      <c r="I4" s="5">
        <v>12.7</v>
      </c>
      <c r="J4" s="8"/>
    </row>
    <row r="5" spans="1:34" x14ac:dyDescent="0.2">
      <c r="A5" s="13" t="s">
        <v>2</v>
      </c>
      <c r="B5" s="4" t="s">
        <v>6</v>
      </c>
      <c r="C5" s="43">
        <v>1.65</v>
      </c>
      <c r="D5" s="5">
        <v>0.81279999999999997</v>
      </c>
      <c r="E5" s="22">
        <v>0.81279999999999997</v>
      </c>
      <c r="F5" s="5">
        <v>1.24</v>
      </c>
      <c r="G5" s="5">
        <v>1.24</v>
      </c>
      <c r="H5" s="5">
        <v>1.24</v>
      </c>
      <c r="I5" s="5">
        <v>1.24</v>
      </c>
      <c r="J5" s="8"/>
    </row>
    <row r="6" spans="1:34" x14ac:dyDescent="0.2">
      <c r="A6" s="13" t="s">
        <v>25</v>
      </c>
      <c r="B6" s="4" t="s">
        <v>6</v>
      </c>
      <c r="C6" s="43">
        <f t="shared" ref="C6:I6" si="0">C4-(2*C5)</f>
        <v>44.96</v>
      </c>
      <c r="D6" s="5">
        <f t="shared" si="0"/>
        <v>7.8994</v>
      </c>
      <c r="E6" s="22">
        <f t="shared" si="0"/>
        <v>7.8994</v>
      </c>
      <c r="F6" s="5">
        <f t="shared" si="0"/>
        <v>10.219999999999999</v>
      </c>
      <c r="G6" s="5">
        <f>G4-(2*G5)</f>
        <v>10.219999999999999</v>
      </c>
      <c r="H6" s="5">
        <f>H4-(2*H5)</f>
        <v>10.219999999999999</v>
      </c>
      <c r="I6" s="5">
        <f t="shared" si="0"/>
        <v>10.219999999999999</v>
      </c>
      <c r="J6" s="8"/>
    </row>
    <row r="7" spans="1:34" ht="14.25" x14ac:dyDescent="0.2">
      <c r="A7" s="13" t="s">
        <v>26</v>
      </c>
      <c r="B7" s="4" t="s">
        <v>11</v>
      </c>
      <c r="C7" s="44">
        <f t="shared" ref="C7:I7" si="1">0.25*3.14*(C6^2)</f>
        <v>1586.8002560000002</v>
      </c>
      <c r="D7" s="6">
        <f t="shared" si="1"/>
        <v>48.984408482600003</v>
      </c>
      <c r="E7" s="6">
        <f t="shared" si="1"/>
        <v>48.984408482600003</v>
      </c>
      <c r="F7" s="6">
        <f t="shared" si="1"/>
        <v>81.991993999999991</v>
      </c>
      <c r="G7" s="24">
        <f>0.25*3.14*(G6^2)</f>
        <v>81.991993999999991</v>
      </c>
      <c r="H7" s="24">
        <f>0.25*3.14*(H6^2)</f>
        <v>81.991993999999991</v>
      </c>
      <c r="I7" s="6">
        <f t="shared" si="1"/>
        <v>81.991993999999991</v>
      </c>
      <c r="J7" s="9"/>
    </row>
    <row r="8" spans="1:34" s="40" customFormat="1" x14ac:dyDescent="0.2">
      <c r="A8" s="13" t="s">
        <v>4</v>
      </c>
      <c r="B8" s="4" t="s">
        <v>7</v>
      </c>
      <c r="C8" s="43"/>
      <c r="D8" s="32">
        <v>2.2999999999999998</v>
      </c>
      <c r="E8" s="32">
        <v>2.2999999999999998</v>
      </c>
      <c r="F8" s="32">
        <v>2</v>
      </c>
      <c r="G8" s="32">
        <v>5</v>
      </c>
      <c r="H8" s="32">
        <v>5</v>
      </c>
      <c r="I8" s="32">
        <v>10</v>
      </c>
      <c r="J8" s="49"/>
      <c r="K8" s="60"/>
      <c r="L8" s="60"/>
      <c r="M8" s="60"/>
      <c r="N8" s="60"/>
      <c r="O8" s="60"/>
      <c r="P8" s="60"/>
      <c r="Q8" s="60"/>
      <c r="R8" s="60"/>
      <c r="S8" s="60"/>
      <c r="T8" s="60"/>
      <c r="U8" s="60"/>
      <c r="V8" s="60"/>
      <c r="W8" s="60"/>
      <c r="X8" s="60"/>
      <c r="Y8" s="60"/>
      <c r="Z8" s="60"/>
      <c r="AA8" s="60"/>
      <c r="AB8" s="60"/>
      <c r="AC8" s="60"/>
      <c r="AD8" s="60"/>
      <c r="AE8" s="60"/>
      <c r="AF8" s="60"/>
      <c r="AG8" s="60"/>
      <c r="AH8" s="60"/>
    </row>
    <row r="9" spans="1:34" x14ac:dyDescent="0.2">
      <c r="A9" s="13" t="s">
        <v>38</v>
      </c>
      <c r="B9" s="4" t="s">
        <v>14</v>
      </c>
      <c r="C9" s="44"/>
      <c r="D9" s="5">
        <f t="shared" ref="C9:I9" si="2">(D8*1000/60)/D7</f>
        <v>0.78256193186348078</v>
      </c>
      <c r="E9" s="5">
        <f t="shared" si="2"/>
        <v>0.78256193186348078</v>
      </c>
      <c r="F9" s="5">
        <f t="shared" si="2"/>
        <v>0.40654375759337358</v>
      </c>
      <c r="G9" s="5">
        <f>(G8*1000/60)/G7</f>
        <v>1.0163593939834337</v>
      </c>
      <c r="H9" s="5">
        <f>(H8*1000/60)/H7</f>
        <v>1.0163593939834337</v>
      </c>
      <c r="I9" s="5">
        <f t="shared" si="2"/>
        <v>2.0327187879668673</v>
      </c>
      <c r="J9" s="8"/>
    </row>
    <row r="10" spans="1:34" x14ac:dyDescent="0.2">
      <c r="A10" s="13" t="s">
        <v>42</v>
      </c>
      <c r="B10" s="4" t="s">
        <v>43</v>
      </c>
      <c r="C10" s="43"/>
      <c r="D10" s="6">
        <f t="shared" ref="C10:I10" si="3">(D9*(D6/1000))/(1.035*10^-6)</f>
        <v>5972.7243715578552</v>
      </c>
      <c r="E10" s="6">
        <f t="shared" si="3"/>
        <v>5972.7243715578552</v>
      </c>
      <c r="F10" s="6">
        <f t="shared" si="3"/>
        <v>4014.374108796404</v>
      </c>
      <c r="G10" s="6">
        <f t="shared" si="3"/>
        <v>10035.935271991008</v>
      </c>
      <c r="H10" s="6">
        <f t="shared" si="3"/>
        <v>10035.935271991008</v>
      </c>
      <c r="I10" s="6">
        <f t="shared" si="3"/>
        <v>20071.870543982015</v>
      </c>
      <c r="J10" s="8"/>
    </row>
    <row r="11" spans="1:34" s="40" customFormat="1" x14ac:dyDescent="0.2">
      <c r="A11" s="13" t="s">
        <v>69</v>
      </c>
      <c r="B11" s="4" t="s">
        <v>8</v>
      </c>
      <c r="C11" s="44"/>
      <c r="D11" s="30">
        <f>D13/D12</f>
        <v>109</v>
      </c>
      <c r="E11" s="30">
        <v>130</v>
      </c>
      <c r="F11" s="30"/>
      <c r="G11" s="30"/>
      <c r="H11" s="30"/>
      <c r="I11" s="30"/>
      <c r="J11" s="50"/>
      <c r="K11" s="60"/>
      <c r="L11" s="60"/>
      <c r="M11" s="60"/>
      <c r="N11" s="60"/>
      <c r="O11" s="60"/>
      <c r="P11" s="60"/>
      <c r="Q11" s="60"/>
      <c r="R11" s="60"/>
      <c r="S11" s="60"/>
      <c r="T11" s="60"/>
      <c r="U11" s="60"/>
      <c r="V11" s="60"/>
      <c r="W11" s="60"/>
      <c r="X11" s="60"/>
      <c r="Y11" s="60"/>
      <c r="Z11" s="60"/>
      <c r="AA11" s="60"/>
      <c r="AB11" s="60"/>
      <c r="AC11" s="60"/>
      <c r="AD11" s="60"/>
      <c r="AE11" s="60"/>
      <c r="AF11" s="60"/>
      <c r="AG11" s="60"/>
      <c r="AH11" s="60"/>
    </row>
    <row r="12" spans="1:34" s="40" customFormat="1" x14ac:dyDescent="0.2">
      <c r="A12" s="13" t="s">
        <v>70</v>
      </c>
      <c r="B12" s="4" t="s">
        <v>80</v>
      </c>
      <c r="C12" s="43"/>
      <c r="D12" s="30">
        <v>3</v>
      </c>
      <c r="E12" s="30">
        <v>3</v>
      </c>
      <c r="F12" s="30"/>
      <c r="G12" s="30"/>
      <c r="H12" s="30"/>
      <c r="I12" s="30"/>
      <c r="J12" s="50"/>
      <c r="K12" s="60"/>
      <c r="L12" s="60"/>
      <c r="M12" s="60"/>
      <c r="N12" s="60"/>
      <c r="O12" s="60"/>
      <c r="P12" s="60"/>
      <c r="Q12" s="60"/>
      <c r="R12" s="60"/>
      <c r="S12" s="60"/>
      <c r="T12" s="60"/>
      <c r="U12" s="60"/>
      <c r="V12" s="60"/>
      <c r="W12" s="60"/>
      <c r="X12" s="60"/>
      <c r="Y12" s="60"/>
      <c r="Z12" s="60"/>
      <c r="AA12" s="60"/>
      <c r="AB12" s="60"/>
      <c r="AC12" s="60"/>
      <c r="AD12" s="60"/>
      <c r="AE12" s="60"/>
      <c r="AF12" s="60"/>
      <c r="AG12" s="60"/>
      <c r="AH12" s="60"/>
    </row>
    <row r="13" spans="1:34" x14ac:dyDescent="0.2">
      <c r="A13" s="13" t="s">
        <v>17</v>
      </c>
      <c r="B13" s="4" t="s">
        <v>8</v>
      </c>
      <c r="C13" s="44">
        <f>C18</f>
        <v>0</v>
      </c>
      <c r="D13" s="6">
        <v>327</v>
      </c>
      <c r="E13" s="6">
        <f>E11*E12</f>
        <v>390</v>
      </c>
      <c r="F13" s="6">
        <v>400</v>
      </c>
      <c r="G13" s="6">
        <v>852</v>
      </c>
      <c r="H13" s="6">
        <v>852</v>
      </c>
      <c r="I13" s="6">
        <v>2348</v>
      </c>
      <c r="J13" s="8"/>
    </row>
    <row r="14" spans="1:34" x14ac:dyDescent="0.2">
      <c r="A14" s="13" t="s">
        <v>20</v>
      </c>
      <c r="B14" s="4" t="s">
        <v>5</v>
      </c>
      <c r="C14" s="43" t="e">
        <f t="shared" ref="C14:I14" si="4">C13/(C8/60)/4180</f>
        <v>#DIV/0!</v>
      </c>
      <c r="D14" s="5">
        <f t="shared" si="4"/>
        <v>2.0407738714374872</v>
      </c>
      <c r="E14" s="5">
        <f t="shared" si="4"/>
        <v>2.4339504888703978</v>
      </c>
      <c r="F14" s="5">
        <f t="shared" si="4"/>
        <v>2.8708133971291865</v>
      </c>
      <c r="G14" s="5">
        <f>G13/(G8/60)/4180</f>
        <v>2.445933014354067</v>
      </c>
      <c r="H14" s="5">
        <f>H13/(H8/60)/4180</f>
        <v>2.445933014354067</v>
      </c>
      <c r="I14" s="5">
        <f t="shared" si="4"/>
        <v>3.3703349282296649</v>
      </c>
      <c r="J14" s="8"/>
    </row>
    <row r="15" spans="1:34" x14ac:dyDescent="0.2">
      <c r="A15" s="13"/>
      <c r="B15" s="4"/>
      <c r="C15" s="44"/>
      <c r="D15" s="4"/>
      <c r="E15" s="4"/>
      <c r="F15" s="4"/>
      <c r="G15" s="4"/>
      <c r="H15" s="4"/>
      <c r="I15" s="4"/>
      <c r="J15" s="10"/>
    </row>
    <row r="16" spans="1:34" s="40" customFormat="1" x14ac:dyDescent="0.2">
      <c r="A16" s="13" t="s">
        <v>9</v>
      </c>
      <c r="B16" s="4" t="s">
        <v>10</v>
      </c>
      <c r="C16" s="43">
        <v>1</v>
      </c>
      <c r="D16" s="30">
        <v>24</v>
      </c>
      <c r="E16" s="30">
        <v>12</v>
      </c>
      <c r="F16" s="30">
        <v>12</v>
      </c>
      <c r="G16" s="30">
        <v>4</v>
      </c>
      <c r="H16" s="30">
        <v>2</v>
      </c>
      <c r="I16" s="30">
        <v>4</v>
      </c>
      <c r="J16" s="50"/>
      <c r="K16" s="60"/>
      <c r="L16" s="60"/>
      <c r="M16" s="60"/>
      <c r="N16" s="60"/>
      <c r="O16" s="60"/>
      <c r="P16" s="60"/>
      <c r="Q16" s="60"/>
      <c r="R16" s="60"/>
      <c r="S16" s="60"/>
      <c r="T16" s="60"/>
      <c r="U16" s="60"/>
      <c r="V16" s="60"/>
      <c r="W16" s="60"/>
      <c r="X16" s="60"/>
      <c r="Y16" s="60"/>
      <c r="Z16" s="60"/>
      <c r="AA16" s="60"/>
      <c r="AB16" s="60"/>
      <c r="AC16" s="60"/>
      <c r="AD16" s="60"/>
      <c r="AE16" s="60"/>
      <c r="AF16" s="60"/>
      <c r="AG16" s="60"/>
      <c r="AH16" s="60"/>
    </row>
    <row r="17" spans="1:34" x14ac:dyDescent="0.2">
      <c r="A17" s="13" t="s">
        <v>19</v>
      </c>
      <c r="B17" s="4" t="s">
        <v>7</v>
      </c>
      <c r="C17" s="44">
        <f>SUM(D17:I17)</f>
        <v>176.8</v>
      </c>
      <c r="D17" s="30">
        <f t="shared" ref="D17:I17" si="5">D8*D16</f>
        <v>55.199999999999996</v>
      </c>
      <c r="E17" s="30">
        <f t="shared" si="5"/>
        <v>27.599999999999998</v>
      </c>
      <c r="F17" s="128">
        <f>F16*F8</f>
        <v>24</v>
      </c>
      <c r="G17" s="30">
        <f>G8*G16</f>
        <v>20</v>
      </c>
      <c r="H17" s="30">
        <f>H8*H16</f>
        <v>10</v>
      </c>
      <c r="I17" s="30">
        <f t="shared" si="5"/>
        <v>40</v>
      </c>
      <c r="J17" s="10"/>
    </row>
    <row r="18" spans="1:34" s="40" customFormat="1" x14ac:dyDescent="0.2">
      <c r="A18" s="13" t="s">
        <v>22</v>
      </c>
      <c r="B18" s="4" t="s">
        <v>8</v>
      </c>
      <c r="C18" s="43"/>
      <c r="D18" s="30">
        <f>D16*D13</f>
        <v>7848</v>
      </c>
      <c r="E18" s="30">
        <f>E16*E13</f>
        <v>4680</v>
      </c>
      <c r="F18" s="143"/>
      <c r="G18" s="30">
        <f>G16*G13</f>
        <v>3408</v>
      </c>
      <c r="H18" s="30">
        <f>H16*H13</f>
        <v>1704</v>
      </c>
      <c r="I18" s="30">
        <f>I16*I13</f>
        <v>9392</v>
      </c>
      <c r="J18" s="39"/>
      <c r="K18" s="60"/>
      <c r="L18" s="60"/>
      <c r="M18" s="60"/>
      <c r="N18" s="60"/>
      <c r="O18" s="60"/>
      <c r="P18" s="60"/>
      <c r="Q18" s="60"/>
      <c r="R18" s="60"/>
      <c r="S18" s="60"/>
      <c r="T18" s="60"/>
      <c r="U18" s="60"/>
      <c r="V18" s="60"/>
      <c r="W18" s="60"/>
      <c r="X18" s="60"/>
      <c r="Y18" s="60"/>
      <c r="Z18" s="60"/>
      <c r="AA18" s="60"/>
      <c r="AB18" s="60"/>
      <c r="AC18" s="60"/>
      <c r="AD18" s="60"/>
      <c r="AE18" s="60"/>
      <c r="AF18" s="60"/>
      <c r="AG18" s="60"/>
      <c r="AH18" s="60"/>
    </row>
    <row r="19" spans="1:34" x14ac:dyDescent="0.2">
      <c r="A19" s="13" t="s">
        <v>24</v>
      </c>
      <c r="B19" s="4" t="s">
        <v>8</v>
      </c>
      <c r="C19" s="44"/>
      <c r="D19" s="4"/>
      <c r="E19" s="4"/>
      <c r="F19" s="3"/>
      <c r="G19" s="3"/>
      <c r="H19" s="3"/>
      <c r="I19" s="4"/>
      <c r="J19" s="12"/>
    </row>
    <row r="20" spans="1:34" x14ac:dyDescent="0.2">
      <c r="A20" s="13"/>
      <c r="B20" s="4"/>
      <c r="C20" s="43"/>
      <c r="D20" s="26"/>
      <c r="E20" s="4"/>
      <c r="F20" s="3"/>
      <c r="G20" s="3"/>
      <c r="H20" s="3"/>
      <c r="I20" s="4"/>
      <c r="J20" s="12"/>
    </row>
    <row r="21" spans="1:34" x14ac:dyDescent="0.2">
      <c r="A21" s="13" t="s">
        <v>15</v>
      </c>
      <c r="B21" s="4" t="s">
        <v>0</v>
      </c>
      <c r="C21" s="44"/>
      <c r="D21" s="27" t="s">
        <v>41</v>
      </c>
      <c r="E21" s="25"/>
      <c r="F21" s="4"/>
      <c r="G21" s="4" t="s">
        <v>44</v>
      </c>
      <c r="H21" s="4"/>
      <c r="I21" s="4"/>
      <c r="J21" s="10"/>
    </row>
    <row r="22" spans="1:34" x14ac:dyDescent="0.2">
      <c r="A22" s="12"/>
      <c r="B22" s="10"/>
      <c r="C22" s="10"/>
      <c r="D22" s="10"/>
      <c r="E22" s="10"/>
      <c r="F22" s="12"/>
      <c r="G22" s="12"/>
      <c r="H22" s="12"/>
      <c r="I22" s="10"/>
      <c r="J22" s="12"/>
    </row>
    <row r="24" spans="1:34" x14ac:dyDescent="0.2">
      <c r="A24" s="35" t="s">
        <v>74</v>
      </c>
      <c r="C24" s="48"/>
    </row>
    <row r="25" spans="1:34" x14ac:dyDescent="0.2">
      <c r="A25" s="16" t="s">
        <v>19</v>
      </c>
      <c r="B25" s="17" t="s">
        <v>7</v>
      </c>
      <c r="C25" s="18">
        <f>C8</f>
        <v>0</v>
      </c>
      <c r="D25" s="2"/>
      <c r="E25" s="2"/>
      <c r="I25" s="2"/>
    </row>
    <row r="26" spans="1:34" x14ac:dyDescent="0.2">
      <c r="A26" s="16" t="s">
        <v>23</v>
      </c>
      <c r="B26" s="17" t="s">
        <v>94</v>
      </c>
      <c r="C26" s="18">
        <f>C18/1000</f>
        <v>0</v>
      </c>
      <c r="D26" s="2"/>
      <c r="E26" s="2"/>
      <c r="I26" s="2"/>
    </row>
    <row r="27" spans="1:34" x14ac:dyDescent="0.2">
      <c r="A27" s="16" t="s">
        <v>21</v>
      </c>
      <c r="B27" s="17" t="s">
        <v>5</v>
      </c>
      <c r="C27" s="19" t="e">
        <f>C26/(C25/60)/4.18</f>
        <v>#DIV/0!</v>
      </c>
      <c r="D27" s="2"/>
      <c r="E27" s="2"/>
      <c r="I27" s="2"/>
    </row>
  </sheetData>
  <mergeCells count="1">
    <mergeCell ref="B2:I2"/>
  </mergeCells>
  <phoneticPr fontId="7" type="noConversion"/>
  <pageMargins left="0.75" right="0.75" top="1" bottom="1" header="0.5" footer="0.5"/>
  <pageSetup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1"/>
  <sheetViews>
    <sheetView showGridLines="0" zoomScale="150" zoomScaleNormal="150" workbookViewId="0">
      <selection activeCell="F19" sqref="F19"/>
    </sheetView>
  </sheetViews>
  <sheetFormatPr defaultColWidth="8.85546875" defaultRowHeight="12.75" x14ac:dyDescent="0.2"/>
  <cols>
    <col min="1" max="1" width="22.7109375" customWidth="1"/>
    <col min="2" max="2" width="7.7109375" customWidth="1"/>
    <col min="3" max="3" width="8.7109375" customWidth="1"/>
    <col min="4" max="6" width="7.7109375" customWidth="1"/>
    <col min="7" max="7" width="9.7109375" customWidth="1"/>
    <col min="8" max="9" width="7.7109375" customWidth="1"/>
    <col min="10" max="10" width="0.140625" customWidth="1"/>
    <col min="11" max="34" width="8.85546875" style="60"/>
  </cols>
  <sheetData>
    <row r="1" spans="1:34" ht="18" x14ac:dyDescent="0.25">
      <c r="A1" s="20" t="s">
        <v>83</v>
      </c>
      <c r="E1" t="s">
        <v>76</v>
      </c>
    </row>
    <row r="2" spans="1:34" x14ac:dyDescent="0.2">
      <c r="B2" s="136" t="s">
        <v>62</v>
      </c>
      <c r="C2" s="136"/>
      <c r="D2" s="136"/>
      <c r="E2" s="136"/>
      <c r="F2" s="136"/>
      <c r="G2" s="136"/>
      <c r="H2" s="136"/>
      <c r="I2" s="136"/>
      <c r="J2" s="36"/>
      <c r="K2" s="64"/>
      <c r="L2" s="64"/>
      <c r="M2" s="64"/>
      <c r="N2" s="64"/>
      <c r="O2" s="64"/>
    </row>
    <row r="3" spans="1:34" s="1" customFormat="1" ht="63.75" x14ac:dyDescent="0.2">
      <c r="A3" s="11"/>
      <c r="B3" s="14" t="s">
        <v>3</v>
      </c>
      <c r="C3" s="47" t="s">
        <v>12</v>
      </c>
      <c r="D3" s="14" t="s">
        <v>36</v>
      </c>
      <c r="E3" s="69" t="s">
        <v>37</v>
      </c>
      <c r="F3" s="14" t="s">
        <v>13</v>
      </c>
      <c r="G3" s="23" t="s">
        <v>52</v>
      </c>
      <c r="H3" s="14" t="s">
        <v>54</v>
      </c>
      <c r="I3" s="14" t="s">
        <v>55</v>
      </c>
      <c r="J3" s="7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  <c r="AB3" s="65"/>
      <c r="AC3" s="65"/>
      <c r="AD3" s="65"/>
      <c r="AE3" s="65"/>
      <c r="AF3" s="65"/>
      <c r="AG3" s="65"/>
      <c r="AH3" s="65"/>
    </row>
    <row r="4" spans="1:34" x14ac:dyDescent="0.2">
      <c r="A4" s="13" t="s">
        <v>1</v>
      </c>
      <c r="B4" s="4" t="s">
        <v>6</v>
      </c>
      <c r="C4" s="43">
        <v>48.26</v>
      </c>
      <c r="D4" s="5">
        <v>9.5250000000000004</v>
      </c>
      <c r="E4" s="126">
        <v>9.5250000000000004</v>
      </c>
      <c r="F4" s="5">
        <v>12.7</v>
      </c>
      <c r="G4" s="5">
        <v>12.7</v>
      </c>
      <c r="H4" s="5">
        <v>12.7</v>
      </c>
      <c r="I4" s="5">
        <v>12.7</v>
      </c>
      <c r="J4" s="8"/>
    </row>
    <row r="5" spans="1:34" x14ac:dyDescent="0.2">
      <c r="A5" s="13" t="s">
        <v>2</v>
      </c>
      <c r="B5" s="4" t="s">
        <v>6</v>
      </c>
      <c r="C5" s="43">
        <v>1.65</v>
      </c>
      <c r="D5" s="5">
        <v>0.81279999999999997</v>
      </c>
      <c r="E5" s="126">
        <v>0.81279999999999997</v>
      </c>
      <c r="F5" s="5">
        <v>1.24</v>
      </c>
      <c r="G5" s="5">
        <v>1.24</v>
      </c>
      <c r="H5" s="5">
        <v>1.24</v>
      </c>
      <c r="I5" s="5">
        <v>1.24</v>
      </c>
      <c r="J5" s="8"/>
    </row>
    <row r="6" spans="1:34" x14ac:dyDescent="0.2">
      <c r="A6" s="13" t="s">
        <v>25</v>
      </c>
      <c r="B6" s="4" t="s">
        <v>6</v>
      </c>
      <c r="C6" s="43">
        <f t="shared" ref="C6:I6" si="0">C4-(2*C5)</f>
        <v>44.96</v>
      </c>
      <c r="D6" s="5">
        <f t="shared" si="0"/>
        <v>7.8994</v>
      </c>
      <c r="E6" s="126">
        <f t="shared" si="0"/>
        <v>7.8994</v>
      </c>
      <c r="F6" s="5">
        <f t="shared" si="0"/>
        <v>10.219999999999999</v>
      </c>
      <c r="G6" s="5">
        <f>G4-(2*G5)</f>
        <v>10.219999999999999</v>
      </c>
      <c r="H6" s="5">
        <f>H4-(2*H5)</f>
        <v>10.219999999999999</v>
      </c>
      <c r="I6" s="5">
        <f t="shared" si="0"/>
        <v>10.219999999999999</v>
      </c>
      <c r="J6" s="8"/>
    </row>
    <row r="7" spans="1:34" ht="14.25" x14ac:dyDescent="0.2">
      <c r="A7" s="13" t="s">
        <v>26</v>
      </c>
      <c r="B7" s="4" t="s">
        <v>11</v>
      </c>
      <c r="C7" s="44">
        <f t="shared" ref="C7:I7" si="1">0.25*3.14*(C6^2)</f>
        <v>1586.8002560000002</v>
      </c>
      <c r="D7" s="6">
        <f t="shared" si="1"/>
        <v>48.984408482600003</v>
      </c>
      <c r="E7" s="30">
        <f t="shared" si="1"/>
        <v>48.984408482600003</v>
      </c>
      <c r="F7" s="6">
        <f t="shared" si="1"/>
        <v>81.991993999999991</v>
      </c>
      <c r="G7" s="24">
        <f>0.25*3.14*(G6^2)</f>
        <v>81.991993999999991</v>
      </c>
      <c r="H7" s="24">
        <f>0.25*3.14*(H6^2)</f>
        <v>81.991993999999991</v>
      </c>
      <c r="I7" s="6">
        <f t="shared" si="1"/>
        <v>81.991993999999991</v>
      </c>
      <c r="J7" s="9"/>
    </row>
    <row r="8" spans="1:34" s="40" customFormat="1" x14ac:dyDescent="0.2">
      <c r="A8" s="13" t="s">
        <v>4</v>
      </c>
      <c r="B8" s="4" t="s">
        <v>7</v>
      </c>
      <c r="C8" s="44" t="e">
        <f>(D8*D16)+(E8*E16)+(F8*#REF!)+(G8*G16)+(H8*H16)+(I8*I16)+(J8*J16)+(K8*K16)+(L8*L16)+(M8*M16)+(N8*N16)+(O8*O16)</f>
        <v>#REF!</v>
      </c>
      <c r="D8" s="32">
        <f>'Present YE2 '!D8</f>
        <v>2.2999999999999998</v>
      </c>
      <c r="E8" s="127">
        <v>4</v>
      </c>
      <c r="F8" s="32">
        <f>'Present YE2 '!F8</f>
        <v>2</v>
      </c>
      <c r="G8" s="32">
        <f>'Present YE2 '!G8</f>
        <v>5</v>
      </c>
      <c r="H8" s="32">
        <f>'Present YE2 '!H8</f>
        <v>5</v>
      </c>
      <c r="I8" s="32">
        <f>'Present YE2 '!I8</f>
        <v>10</v>
      </c>
      <c r="J8" s="49"/>
      <c r="K8" s="60"/>
      <c r="L8" s="60"/>
      <c r="M8" s="60"/>
      <c r="N8" s="60"/>
      <c r="O8" s="60"/>
      <c r="P8" s="60"/>
      <c r="Q8" s="60"/>
      <c r="R8" s="60"/>
      <c r="S8" s="60"/>
      <c r="T8" s="60"/>
      <c r="U8" s="60"/>
      <c r="V8" s="60"/>
      <c r="W8" s="60"/>
      <c r="X8" s="60"/>
      <c r="Y8" s="60"/>
      <c r="Z8" s="60"/>
      <c r="AA8" s="60"/>
      <c r="AB8" s="60"/>
      <c r="AC8" s="60"/>
      <c r="AD8" s="60"/>
      <c r="AE8" s="60"/>
      <c r="AF8" s="60"/>
      <c r="AG8" s="60"/>
      <c r="AH8" s="60"/>
    </row>
    <row r="9" spans="1:34" x14ac:dyDescent="0.2">
      <c r="A9" s="13" t="s">
        <v>38</v>
      </c>
      <c r="B9" s="4" t="s">
        <v>14</v>
      </c>
      <c r="C9" s="44" t="e">
        <f t="shared" ref="C9:I9" si="2">(C8*1000/60)/C7</f>
        <v>#REF!</v>
      </c>
      <c r="D9" s="5">
        <f t="shared" si="2"/>
        <v>0.78256193186348078</v>
      </c>
      <c r="E9" s="31">
        <f t="shared" si="2"/>
        <v>1.3609772728060536</v>
      </c>
      <c r="F9" s="5">
        <f t="shared" si="2"/>
        <v>0.40654375759337358</v>
      </c>
      <c r="G9" s="5">
        <f>(G8*1000/60)/G7</f>
        <v>1.0163593939834337</v>
      </c>
      <c r="H9" s="5">
        <f>(H8*1000/60)/H7</f>
        <v>1.0163593939834337</v>
      </c>
      <c r="I9" s="5">
        <f t="shared" si="2"/>
        <v>2.0327187879668673</v>
      </c>
      <c r="J9" s="8"/>
    </row>
    <row r="10" spans="1:34" x14ac:dyDescent="0.2">
      <c r="A10" s="13" t="s">
        <v>42</v>
      </c>
      <c r="B10" s="4" t="s">
        <v>43</v>
      </c>
      <c r="C10" s="44" t="e">
        <f t="shared" ref="C10:I10" si="3">(C9*(C6/1000))/(1.035*10^-6)</f>
        <v>#REF!</v>
      </c>
      <c r="D10" s="6">
        <f t="shared" si="3"/>
        <v>5972.7243715578552</v>
      </c>
      <c r="E10" s="30">
        <f t="shared" si="3"/>
        <v>10387.346733144097</v>
      </c>
      <c r="F10" s="6">
        <f t="shared" si="3"/>
        <v>4014.374108796404</v>
      </c>
      <c r="G10" s="6">
        <f t="shared" si="3"/>
        <v>10035.935271991008</v>
      </c>
      <c r="H10" s="6">
        <f t="shared" si="3"/>
        <v>10035.935271991008</v>
      </c>
      <c r="I10" s="6">
        <f t="shared" si="3"/>
        <v>20071.870543982015</v>
      </c>
      <c r="J10" s="8"/>
    </row>
    <row r="11" spans="1:34" s="40" customFormat="1" x14ac:dyDescent="0.2">
      <c r="A11" s="13" t="s">
        <v>69</v>
      </c>
      <c r="B11" s="4" t="s">
        <v>8</v>
      </c>
      <c r="C11" s="44"/>
      <c r="D11" s="30">
        <f>'Present YE2 '!D11</f>
        <v>109</v>
      </c>
      <c r="E11" s="30">
        <v>260</v>
      </c>
      <c r="F11" s="30">
        <f>'Present YE2 '!F11</f>
        <v>0</v>
      </c>
      <c r="G11" s="30">
        <f>'Present YE2 '!G11</f>
        <v>0</v>
      </c>
      <c r="H11" s="30">
        <f>'Present YE2 '!H11</f>
        <v>0</v>
      </c>
      <c r="I11" s="30">
        <f>'Present YE2 '!I11</f>
        <v>0</v>
      </c>
      <c r="J11" s="50"/>
      <c r="K11" s="60"/>
      <c r="L11" s="60"/>
      <c r="M11" s="60"/>
      <c r="N11" s="60"/>
      <c r="O11" s="60"/>
      <c r="P11" s="60"/>
      <c r="Q11" s="60"/>
      <c r="R11" s="60"/>
      <c r="S11" s="60"/>
      <c r="T11" s="60"/>
      <c r="U11" s="60"/>
      <c r="V11" s="60"/>
      <c r="W11" s="60"/>
      <c r="X11" s="60"/>
      <c r="Y11" s="60"/>
      <c r="Z11" s="60"/>
      <c r="AA11" s="60"/>
      <c r="AB11" s="60"/>
      <c r="AC11" s="60"/>
      <c r="AD11" s="60"/>
      <c r="AE11" s="60"/>
      <c r="AF11" s="60"/>
      <c r="AG11" s="60"/>
      <c r="AH11" s="60"/>
    </row>
    <row r="12" spans="1:34" s="40" customFormat="1" x14ac:dyDescent="0.2">
      <c r="A12" s="13" t="s">
        <v>70</v>
      </c>
      <c r="B12" s="4" t="s">
        <v>80</v>
      </c>
      <c r="C12" s="44"/>
      <c r="D12" s="30">
        <f>'Present YE2 '!D12</f>
        <v>3</v>
      </c>
      <c r="E12" s="30">
        <v>3</v>
      </c>
      <c r="F12" s="30">
        <f>'Present YE2 '!F12</f>
        <v>0</v>
      </c>
      <c r="G12" s="30">
        <f>'Present YE2 '!G12</f>
        <v>0</v>
      </c>
      <c r="H12" s="30">
        <f>'Present YE2 '!H12</f>
        <v>0</v>
      </c>
      <c r="I12" s="30">
        <f>'Present YE2 '!I12</f>
        <v>0</v>
      </c>
      <c r="J12" s="50"/>
      <c r="K12" s="60"/>
      <c r="L12" s="60"/>
      <c r="M12" s="60"/>
      <c r="N12" s="60"/>
      <c r="O12" s="60"/>
      <c r="P12" s="60"/>
      <c r="Q12" s="60"/>
      <c r="R12" s="60"/>
      <c r="S12" s="60"/>
      <c r="T12" s="60"/>
      <c r="U12" s="60"/>
      <c r="V12" s="60"/>
      <c r="W12" s="60"/>
      <c r="X12" s="60"/>
      <c r="Y12" s="60"/>
      <c r="Z12" s="60"/>
      <c r="AA12" s="60"/>
      <c r="AB12" s="60"/>
      <c r="AC12" s="60"/>
      <c r="AD12" s="60"/>
      <c r="AE12" s="60"/>
      <c r="AF12" s="60"/>
      <c r="AG12" s="60"/>
      <c r="AH12" s="60"/>
    </row>
    <row r="13" spans="1:34" x14ac:dyDescent="0.2">
      <c r="A13" s="13" t="s">
        <v>17</v>
      </c>
      <c r="B13" s="4" t="s">
        <v>8</v>
      </c>
      <c r="C13" s="44">
        <f>SUMPRODUCT(D13:I13,D16:I16)</f>
        <v>36512</v>
      </c>
      <c r="D13" s="6">
        <v>327</v>
      </c>
      <c r="E13" s="30">
        <v>780</v>
      </c>
      <c r="F13" s="6">
        <v>400</v>
      </c>
      <c r="G13" s="30">
        <v>852</v>
      </c>
      <c r="H13" s="30">
        <v>852</v>
      </c>
      <c r="I13" s="30">
        <v>2348</v>
      </c>
      <c r="J13" s="8"/>
    </row>
    <row r="14" spans="1:34" x14ac:dyDescent="0.2">
      <c r="A14" s="13" t="s">
        <v>20</v>
      </c>
      <c r="B14" s="4" t="s">
        <v>5</v>
      </c>
      <c r="C14" s="44" t="e">
        <f t="shared" ref="C14:I14" si="4">C13/(C8/60)/4180</f>
        <v>#REF!</v>
      </c>
      <c r="D14" s="5">
        <f t="shared" si="4"/>
        <v>2.0407738714374872</v>
      </c>
      <c r="E14" s="31">
        <f>E13/(E8/60)/4180</f>
        <v>2.799043062200957</v>
      </c>
      <c r="F14" s="5">
        <f t="shared" si="4"/>
        <v>2.8708133971291865</v>
      </c>
      <c r="G14" s="5">
        <f>G13/(G8/60)/4180</f>
        <v>2.445933014354067</v>
      </c>
      <c r="H14" s="5">
        <f>H13/(H8/60)/4180</f>
        <v>2.445933014354067</v>
      </c>
      <c r="I14" s="5">
        <f t="shared" si="4"/>
        <v>3.3703349282296649</v>
      </c>
      <c r="J14" s="8"/>
    </row>
    <row r="15" spans="1:34" x14ac:dyDescent="0.2">
      <c r="A15" s="13"/>
      <c r="B15" s="4"/>
      <c r="C15" s="44"/>
      <c r="D15" s="4"/>
      <c r="E15" s="32"/>
      <c r="F15" s="4"/>
      <c r="G15" s="4"/>
      <c r="H15" s="4"/>
      <c r="I15" s="4"/>
      <c r="J15" s="10"/>
    </row>
    <row r="16" spans="1:34" s="40" customFormat="1" x14ac:dyDescent="0.2">
      <c r="A16" s="13" t="s">
        <v>9</v>
      </c>
      <c r="B16" s="4" t="s">
        <v>10</v>
      </c>
      <c r="C16" s="44">
        <v>1</v>
      </c>
      <c r="D16" s="30">
        <v>24</v>
      </c>
      <c r="E16" s="30">
        <v>12</v>
      </c>
      <c r="F16" s="30">
        <v>12</v>
      </c>
      <c r="G16" s="30">
        <v>4</v>
      </c>
      <c r="H16" s="30">
        <v>2</v>
      </c>
      <c r="I16" s="30">
        <v>4</v>
      </c>
      <c r="J16" s="50"/>
      <c r="K16" s="60"/>
      <c r="L16" s="60"/>
      <c r="M16" s="60"/>
      <c r="N16" s="60"/>
      <c r="O16" s="60"/>
      <c r="P16" s="60"/>
      <c r="Q16" s="60"/>
      <c r="R16" s="60"/>
      <c r="S16" s="60"/>
      <c r="T16" s="60"/>
      <c r="U16" s="60"/>
      <c r="V16" s="60"/>
      <c r="W16" s="60"/>
      <c r="X16" s="60"/>
      <c r="Y16" s="60"/>
      <c r="Z16" s="60"/>
      <c r="AA16" s="60"/>
      <c r="AB16" s="60"/>
      <c r="AC16" s="60"/>
      <c r="AD16" s="60"/>
      <c r="AE16" s="60"/>
      <c r="AF16" s="60"/>
      <c r="AG16" s="60"/>
      <c r="AH16" s="60"/>
    </row>
    <row r="17" spans="1:34" x14ac:dyDescent="0.2">
      <c r="A17" s="13" t="s">
        <v>19</v>
      </c>
      <c r="B17" s="4" t="s">
        <v>7</v>
      </c>
      <c r="C17" s="44">
        <f>SUM(D17:I17)</f>
        <v>197.2</v>
      </c>
      <c r="D17" s="30">
        <f t="shared" ref="D17:I17" si="5">D8*D16</f>
        <v>55.199999999999996</v>
      </c>
      <c r="E17" s="30">
        <f t="shared" si="5"/>
        <v>48</v>
      </c>
      <c r="F17" s="128">
        <f>F16*F8</f>
        <v>24</v>
      </c>
      <c r="G17" s="30">
        <f>G8*G16</f>
        <v>20</v>
      </c>
      <c r="H17" s="30">
        <f>H8*H16</f>
        <v>10</v>
      </c>
      <c r="I17" s="30">
        <f t="shared" si="5"/>
        <v>40</v>
      </c>
      <c r="J17" s="10"/>
    </row>
    <row r="18" spans="1:34" s="40" customFormat="1" x14ac:dyDescent="0.2">
      <c r="A18" s="13" t="s">
        <v>22</v>
      </c>
      <c r="B18" s="4" t="s">
        <v>8</v>
      </c>
      <c r="C18" s="44">
        <f>SUM(D18:I18)</f>
        <v>31712</v>
      </c>
      <c r="D18" s="30">
        <f>D16*D13</f>
        <v>7848</v>
      </c>
      <c r="E18" s="30">
        <v>9360</v>
      </c>
      <c r="F18" s="143"/>
      <c r="G18" s="30">
        <f>G16*G13</f>
        <v>3408</v>
      </c>
      <c r="H18" s="30">
        <f>H16*H13</f>
        <v>1704</v>
      </c>
      <c r="I18" s="30">
        <f>I16*I13</f>
        <v>9392</v>
      </c>
      <c r="J18" s="39"/>
      <c r="K18" s="60"/>
      <c r="L18" s="60"/>
      <c r="M18" s="60"/>
      <c r="N18" s="60"/>
      <c r="O18" s="60"/>
      <c r="P18" s="60"/>
      <c r="Q18" s="60"/>
      <c r="R18" s="60"/>
      <c r="S18" s="60"/>
      <c r="T18" s="60"/>
      <c r="U18" s="60"/>
      <c r="V18" s="60"/>
      <c r="W18" s="60"/>
      <c r="X18" s="60"/>
      <c r="Y18" s="60"/>
      <c r="Z18" s="60"/>
      <c r="AA18" s="60"/>
      <c r="AB18" s="60"/>
      <c r="AC18" s="60"/>
      <c r="AD18" s="60"/>
      <c r="AE18" s="60"/>
      <c r="AF18" s="60"/>
      <c r="AG18" s="60"/>
      <c r="AH18" s="60"/>
    </row>
    <row r="19" spans="1:34" x14ac:dyDescent="0.2">
      <c r="A19" s="13" t="s">
        <v>24</v>
      </c>
      <c r="B19" s="4" t="s">
        <v>8</v>
      </c>
      <c r="C19" s="45"/>
      <c r="D19" s="4"/>
      <c r="E19" s="4"/>
      <c r="F19" s="144"/>
      <c r="G19" s="3"/>
      <c r="H19" s="3"/>
      <c r="I19" s="4"/>
      <c r="J19" s="12"/>
    </row>
    <row r="20" spans="1:34" x14ac:dyDescent="0.2">
      <c r="A20" s="13"/>
      <c r="B20" s="4"/>
      <c r="C20" s="45"/>
      <c r="D20" s="26"/>
      <c r="E20" s="4"/>
      <c r="F20" s="3"/>
      <c r="G20" s="3"/>
      <c r="H20" s="3"/>
      <c r="I20" s="4"/>
      <c r="J20" s="12"/>
    </row>
    <row r="21" spans="1:34" x14ac:dyDescent="0.2">
      <c r="A21" s="13" t="s">
        <v>15</v>
      </c>
      <c r="B21" s="4" t="s">
        <v>0</v>
      </c>
      <c r="C21" s="46"/>
      <c r="D21" s="27" t="s">
        <v>41</v>
      </c>
      <c r="E21" s="25"/>
      <c r="F21" s="4"/>
      <c r="G21" s="4" t="s">
        <v>44</v>
      </c>
      <c r="H21" s="4"/>
      <c r="I21" s="4"/>
      <c r="J21" s="10"/>
    </row>
    <row r="22" spans="1:34" x14ac:dyDescent="0.2">
      <c r="A22" s="12"/>
      <c r="B22" s="10"/>
      <c r="C22" s="10"/>
      <c r="D22" s="10"/>
      <c r="E22" s="10"/>
      <c r="F22" s="12"/>
      <c r="G22" s="12"/>
      <c r="H22" s="12"/>
      <c r="I22" s="10"/>
      <c r="J22" s="12"/>
    </row>
    <row r="24" spans="1:34" x14ac:dyDescent="0.2">
      <c r="A24" s="35" t="s">
        <v>74</v>
      </c>
      <c r="C24" s="48"/>
    </row>
    <row r="25" spans="1:34" x14ac:dyDescent="0.2">
      <c r="A25" s="16" t="s">
        <v>19</v>
      </c>
      <c r="B25" s="17" t="s">
        <v>7</v>
      </c>
      <c r="C25" s="18" t="e">
        <f>C8</f>
        <v>#REF!</v>
      </c>
      <c r="D25" s="2"/>
      <c r="E25" s="2"/>
      <c r="I25" s="2"/>
    </row>
    <row r="26" spans="1:34" x14ac:dyDescent="0.2">
      <c r="A26" s="16" t="s">
        <v>23</v>
      </c>
      <c r="B26" s="17" t="s">
        <v>8</v>
      </c>
      <c r="C26" s="18">
        <f>C18/1000</f>
        <v>31.712</v>
      </c>
      <c r="D26" s="2"/>
      <c r="E26" s="2"/>
      <c r="I26" s="2"/>
    </row>
    <row r="27" spans="1:34" x14ac:dyDescent="0.2">
      <c r="A27" s="16" t="s">
        <v>21</v>
      </c>
      <c r="B27" s="17" t="s">
        <v>5</v>
      </c>
      <c r="C27" s="19" t="e">
        <f>C26/(C25/60)/4.18</f>
        <v>#REF!</v>
      </c>
      <c r="D27" s="2"/>
      <c r="E27" s="2"/>
      <c r="I27" s="2"/>
    </row>
    <row r="29" spans="1:34" x14ac:dyDescent="0.2">
      <c r="A29" s="133" t="s">
        <v>113</v>
      </c>
      <c r="B29" s="33"/>
      <c r="C29" s="33"/>
    </row>
    <row r="30" spans="1:34" x14ac:dyDescent="0.2">
      <c r="A30" t="s">
        <v>131</v>
      </c>
      <c r="B30" s="33"/>
      <c r="C30" s="33"/>
    </row>
    <row r="31" spans="1:34" x14ac:dyDescent="0.2">
      <c r="B31" s="33"/>
      <c r="C31" s="33"/>
    </row>
  </sheetData>
  <mergeCells count="1">
    <mergeCell ref="B2:I2"/>
  </mergeCells>
  <pageMargins left="0.75" right="0.75" top="1" bottom="1" header="0.5" footer="0.5"/>
  <pageSetup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1"/>
  <sheetViews>
    <sheetView showGridLines="0" topLeftCell="A2" zoomScale="120" zoomScaleNormal="120" workbookViewId="0">
      <selection activeCell="F18" sqref="F18"/>
    </sheetView>
  </sheetViews>
  <sheetFormatPr defaultColWidth="8.85546875" defaultRowHeight="12.75" x14ac:dyDescent="0.2"/>
  <cols>
    <col min="1" max="1" width="22.7109375" customWidth="1"/>
    <col min="2" max="2" width="7.7109375" customWidth="1"/>
    <col min="3" max="3" width="8.7109375" customWidth="1"/>
    <col min="4" max="6" width="7.7109375" customWidth="1"/>
    <col min="7" max="7" width="9.7109375" customWidth="1"/>
    <col min="8" max="9" width="7.7109375" customWidth="1"/>
    <col min="10" max="10" width="0.140625" customWidth="1"/>
    <col min="11" max="34" width="8.85546875" style="60"/>
  </cols>
  <sheetData>
    <row r="1" spans="1:34" ht="18" x14ac:dyDescent="0.25">
      <c r="A1" s="20" t="s">
        <v>83</v>
      </c>
      <c r="E1" t="s">
        <v>81</v>
      </c>
    </row>
    <row r="2" spans="1:34" ht="38.25" x14ac:dyDescent="0.2">
      <c r="A2" s="65" t="s">
        <v>100</v>
      </c>
      <c r="B2" s="136" t="s">
        <v>62</v>
      </c>
      <c r="C2" s="136"/>
      <c r="D2" s="136"/>
      <c r="E2" s="136"/>
      <c r="F2" s="136"/>
      <c r="G2" s="136"/>
      <c r="H2" s="136"/>
      <c r="I2" s="136"/>
      <c r="J2" s="36"/>
      <c r="K2" s="64"/>
      <c r="L2" s="64"/>
      <c r="M2" s="64"/>
      <c r="N2" s="64"/>
      <c r="O2" s="64"/>
    </row>
    <row r="3" spans="1:34" s="1" customFormat="1" ht="63.75" x14ac:dyDescent="0.2">
      <c r="A3" s="11"/>
      <c r="B3" s="14" t="s">
        <v>3</v>
      </c>
      <c r="C3" s="47" t="s">
        <v>12</v>
      </c>
      <c r="D3" s="14" t="s">
        <v>36</v>
      </c>
      <c r="E3" s="14" t="s">
        <v>37</v>
      </c>
      <c r="F3" s="14" t="s">
        <v>13</v>
      </c>
      <c r="G3" s="23" t="s">
        <v>52</v>
      </c>
      <c r="H3" s="14" t="s">
        <v>54</v>
      </c>
      <c r="I3" s="14" t="s">
        <v>55</v>
      </c>
      <c r="J3" s="7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  <c r="AB3" s="65"/>
      <c r="AC3" s="65"/>
      <c r="AD3" s="65"/>
      <c r="AE3" s="65"/>
      <c r="AF3" s="65"/>
      <c r="AG3" s="65"/>
      <c r="AH3" s="65"/>
    </row>
    <row r="4" spans="1:34" x14ac:dyDescent="0.2">
      <c r="A4" s="13" t="s">
        <v>1</v>
      </c>
      <c r="B4" s="4" t="s">
        <v>6</v>
      </c>
      <c r="C4" s="43">
        <v>48.26</v>
      </c>
      <c r="D4" s="31">
        <f>'Upgr YE2  LS2 '!D4</f>
        <v>9.5250000000000004</v>
      </c>
      <c r="E4" s="126">
        <f>'Upgr YE2  LS2 '!E4</f>
        <v>9.5250000000000004</v>
      </c>
      <c r="F4" s="5">
        <v>12.7</v>
      </c>
      <c r="G4" s="5">
        <v>12.7</v>
      </c>
      <c r="H4" s="5">
        <v>12.7</v>
      </c>
      <c r="I4" s="5">
        <v>12.7</v>
      </c>
      <c r="J4" s="8"/>
    </row>
    <row r="5" spans="1:34" x14ac:dyDescent="0.2">
      <c r="A5" s="13" t="s">
        <v>2</v>
      </c>
      <c r="B5" s="4" t="s">
        <v>6</v>
      </c>
      <c r="C5" s="43">
        <v>1.65</v>
      </c>
      <c r="D5" s="31">
        <f>'Upgr YE2  LS2 '!D5</f>
        <v>0.81279999999999997</v>
      </c>
      <c r="E5" s="126">
        <f>'Upgr YE2  LS2 '!E5</f>
        <v>0.81279999999999997</v>
      </c>
      <c r="F5" s="5">
        <v>1.24</v>
      </c>
      <c r="G5" s="5">
        <v>1.24</v>
      </c>
      <c r="H5" s="5">
        <v>1.24</v>
      </c>
      <c r="I5" s="5">
        <v>1.24</v>
      </c>
      <c r="J5" s="8"/>
    </row>
    <row r="6" spans="1:34" x14ac:dyDescent="0.2">
      <c r="A6" s="13" t="s">
        <v>25</v>
      </c>
      <c r="B6" s="4" t="s">
        <v>6</v>
      </c>
      <c r="C6" s="43">
        <f t="shared" ref="C6:I6" si="0">C4-(2*C5)</f>
        <v>44.96</v>
      </c>
      <c r="D6" s="31">
        <f>'Upgr YE2  LS2 '!D6</f>
        <v>7.8994</v>
      </c>
      <c r="E6" s="126">
        <f>'Upgr YE2  LS2 '!E6</f>
        <v>7.8994</v>
      </c>
      <c r="F6" s="5">
        <f t="shared" si="0"/>
        <v>10.219999999999999</v>
      </c>
      <c r="G6" s="5">
        <f>G4-(2*G5)</f>
        <v>10.219999999999999</v>
      </c>
      <c r="H6" s="5">
        <f>H4-(2*H5)</f>
        <v>10.219999999999999</v>
      </c>
      <c r="I6" s="5">
        <f t="shared" si="0"/>
        <v>10.219999999999999</v>
      </c>
      <c r="J6" s="8"/>
    </row>
    <row r="7" spans="1:34" ht="14.25" x14ac:dyDescent="0.2">
      <c r="A7" s="13" t="s">
        <v>26</v>
      </c>
      <c r="B7" s="4" t="s">
        <v>11</v>
      </c>
      <c r="C7" s="44">
        <f t="shared" ref="C7:I7" si="1">0.25*3.14*(C6^2)</f>
        <v>1586.8002560000002</v>
      </c>
      <c r="D7" s="30">
        <f>'Upgr YE2  LS2 '!D7</f>
        <v>48.984408482600003</v>
      </c>
      <c r="E7" s="30">
        <f>'Upgr YE2  LS2 '!E7</f>
        <v>48.984408482600003</v>
      </c>
      <c r="F7" s="6">
        <f t="shared" si="1"/>
        <v>81.991993999999991</v>
      </c>
      <c r="G7" s="24">
        <f>0.25*3.14*(G6^2)</f>
        <v>81.991993999999991</v>
      </c>
      <c r="H7" s="24">
        <f>0.25*3.14*(H6^2)</f>
        <v>81.991993999999991</v>
      </c>
      <c r="I7" s="6">
        <f t="shared" si="1"/>
        <v>81.991993999999991</v>
      </c>
      <c r="J7" s="9"/>
    </row>
    <row r="8" spans="1:34" s="40" customFormat="1" x14ac:dyDescent="0.2">
      <c r="A8" s="13" t="s">
        <v>4</v>
      </c>
      <c r="B8" s="4" t="s">
        <v>7</v>
      </c>
      <c r="C8" s="44" t="e">
        <f>(D8*D16)+(E8*E16)+(F8*#REF!)+(G8*G16)+(H8*H16)+(I8*I16)+(J8*J16)+(K8*K16)+(L8*L16)+(M8*M16)+(N8*N16)+(O8*O16)</f>
        <v>#REF!</v>
      </c>
      <c r="D8" s="32">
        <f>'Upgr YE2  LS2 '!D8</f>
        <v>2.2999999999999998</v>
      </c>
      <c r="E8" s="30">
        <f>'Upgr YE2  LS2 '!E8</f>
        <v>4</v>
      </c>
      <c r="F8" s="32">
        <f>'Present YE2 '!F8</f>
        <v>2</v>
      </c>
      <c r="G8" s="32">
        <f>'Present YE2 '!G8</f>
        <v>5</v>
      </c>
      <c r="H8" s="32">
        <f>'Present YE2 '!H8</f>
        <v>5</v>
      </c>
      <c r="I8" s="32">
        <f>'Present YE2 '!I8</f>
        <v>10</v>
      </c>
      <c r="J8" s="49"/>
      <c r="K8" s="60"/>
      <c r="L8" s="60"/>
      <c r="M8" s="60"/>
      <c r="N8" s="60"/>
      <c r="O8" s="60"/>
      <c r="P8" s="60"/>
      <c r="Q8" s="60"/>
      <c r="R8" s="60"/>
      <c r="S8" s="60"/>
      <c r="T8" s="60"/>
      <c r="U8" s="60"/>
      <c r="V8" s="60"/>
      <c r="W8" s="60"/>
      <c r="X8" s="60"/>
      <c r="Y8" s="60"/>
      <c r="Z8" s="60"/>
      <c r="AA8" s="60"/>
      <c r="AB8" s="60"/>
      <c r="AC8" s="60"/>
      <c r="AD8" s="60"/>
      <c r="AE8" s="60"/>
      <c r="AF8" s="60"/>
      <c r="AG8" s="60"/>
      <c r="AH8" s="60"/>
    </row>
    <row r="9" spans="1:34" x14ac:dyDescent="0.2">
      <c r="A9" s="13" t="s">
        <v>38</v>
      </c>
      <c r="B9" s="4" t="s">
        <v>14</v>
      </c>
      <c r="C9" s="44" t="e">
        <f t="shared" ref="C9:I9" si="2">(C8*1000/60)/C7</f>
        <v>#REF!</v>
      </c>
      <c r="D9" s="31">
        <f>'Upgr YE2  LS2 '!D9</f>
        <v>0.78256193186348078</v>
      </c>
      <c r="E9" s="31">
        <f>'Upgr YE2  LS2 '!E9</f>
        <v>1.3609772728060536</v>
      </c>
      <c r="F9" s="5">
        <f t="shared" si="2"/>
        <v>0.40654375759337358</v>
      </c>
      <c r="G9" s="5">
        <f>(G8*1000/60)/G7</f>
        <v>1.0163593939834337</v>
      </c>
      <c r="H9" s="5">
        <f>(H8*1000/60)/H7</f>
        <v>1.0163593939834337</v>
      </c>
      <c r="I9" s="5">
        <f t="shared" si="2"/>
        <v>2.0327187879668673</v>
      </c>
      <c r="J9" s="8"/>
    </row>
    <row r="10" spans="1:34" x14ac:dyDescent="0.2">
      <c r="A10" s="13" t="s">
        <v>42</v>
      </c>
      <c r="B10" s="4" t="s">
        <v>43</v>
      </c>
      <c r="C10" s="44" t="e">
        <f t="shared" ref="C10:I10" si="3">(C9*(C6/1000))/(1.035*10^-6)</f>
        <v>#REF!</v>
      </c>
      <c r="D10" s="30">
        <f>'Upgr YE2  LS2 '!D10</f>
        <v>5972.7243715578552</v>
      </c>
      <c r="E10" s="30">
        <f>'Upgr YE2  LS2 '!E10</f>
        <v>10387.346733144097</v>
      </c>
      <c r="F10" s="6">
        <f t="shared" si="3"/>
        <v>4014.374108796404</v>
      </c>
      <c r="G10" s="6">
        <f t="shared" si="3"/>
        <v>10035.935271991008</v>
      </c>
      <c r="H10" s="6">
        <f t="shared" si="3"/>
        <v>10035.935271991008</v>
      </c>
      <c r="I10" s="6">
        <f t="shared" si="3"/>
        <v>20071.870543982015</v>
      </c>
      <c r="J10" s="8"/>
    </row>
    <row r="11" spans="1:34" s="40" customFormat="1" x14ac:dyDescent="0.2">
      <c r="A11" s="13" t="s">
        <v>69</v>
      </c>
      <c r="B11" s="4" t="s">
        <v>8</v>
      </c>
      <c r="C11" s="44"/>
      <c r="D11" s="30">
        <f>'Upgr YE2  LS2 '!D11</f>
        <v>109</v>
      </c>
      <c r="E11" s="30">
        <f>'Upgr YE2  LS2 '!E11</f>
        <v>260</v>
      </c>
      <c r="F11" s="30">
        <f>'Present YE2 '!F11</f>
        <v>0</v>
      </c>
      <c r="G11" s="30">
        <f>'Present YE2 '!G11</f>
        <v>0</v>
      </c>
      <c r="H11" s="30">
        <f>'Present YE2 '!H11</f>
        <v>0</v>
      </c>
      <c r="I11" s="30">
        <f>'Present YE2 '!I11</f>
        <v>0</v>
      </c>
      <c r="J11" s="50"/>
      <c r="K11" s="60"/>
      <c r="L11" s="60"/>
      <c r="M11" s="60"/>
      <c r="N11" s="60"/>
      <c r="O11" s="60"/>
      <c r="P11" s="60"/>
      <c r="Q11" s="60"/>
      <c r="R11" s="60"/>
      <c r="S11" s="60"/>
      <c r="T11" s="60"/>
      <c r="U11" s="60"/>
      <c r="V11" s="60"/>
      <c r="W11" s="60"/>
      <c r="X11" s="60"/>
      <c r="Y11" s="60"/>
      <c r="Z11" s="60"/>
      <c r="AA11" s="60"/>
      <c r="AB11" s="60"/>
      <c r="AC11" s="60"/>
      <c r="AD11" s="60"/>
      <c r="AE11" s="60"/>
      <c r="AF11" s="60"/>
      <c r="AG11" s="60"/>
      <c r="AH11" s="60"/>
    </row>
    <row r="12" spans="1:34" s="40" customFormat="1" x14ac:dyDescent="0.2">
      <c r="A12" s="13" t="s">
        <v>70</v>
      </c>
      <c r="B12" s="4" t="s">
        <v>80</v>
      </c>
      <c r="C12" s="44"/>
      <c r="D12" s="30">
        <f>'Upgr YE2  LS2 '!D12</f>
        <v>3</v>
      </c>
      <c r="E12" s="30">
        <f>'Upgr YE2  LS2 '!E12</f>
        <v>3</v>
      </c>
      <c r="F12" s="30">
        <f>'Present YE2 '!F12</f>
        <v>0</v>
      </c>
      <c r="G12" s="30">
        <f>'Present YE2 '!G12</f>
        <v>0</v>
      </c>
      <c r="H12" s="30">
        <f>'Present YE2 '!H12</f>
        <v>0</v>
      </c>
      <c r="I12" s="30">
        <f>'Present YE2 '!I12</f>
        <v>0</v>
      </c>
      <c r="J12" s="50"/>
      <c r="K12" s="60"/>
      <c r="L12" s="60"/>
      <c r="M12" s="60"/>
      <c r="N12" s="60"/>
      <c r="O12" s="60"/>
      <c r="P12" s="60"/>
      <c r="Q12" s="60"/>
      <c r="R12" s="60"/>
      <c r="S12" s="60"/>
      <c r="T12" s="60"/>
      <c r="U12" s="60"/>
      <c r="V12" s="60"/>
      <c r="W12" s="60"/>
      <c r="X12" s="60"/>
      <c r="Y12" s="60"/>
      <c r="Z12" s="60"/>
      <c r="AA12" s="60"/>
      <c r="AB12" s="60"/>
      <c r="AC12" s="60"/>
      <c r="AD12" s="60"/>
      <c r="AE12" s="60"/>
      <c r="AF12" s="60"/>
      <c r="AG12" s="60"/>
      <c r="AH12" s="60"/>
    </row>
    <row r="13" spans="1:34" x14ac:dyDescent="0.2">
      <c r="A13" s="13" t="s">
        <v>17</v>
      </c>
      <c r="B13" s="4" t="s">
        <v>8</v>
      </c>
      <c r="C13" s="44">
        <f>SUMPRODUCT(D13:I13,D16:I16)</f>
        <v>36512</v>
      </c>
      <c r="D13" s="30">
        <f>'Upgr YE2  LS2 '!D13</f>
        <v>327</v>
      </c>
      <c r="E13" s="30">
        <f>'Upgr YE2  LS2 '!E13</f>
        <v>780</v>
      </c>
      <c r="F13" s="6">
        <v>400</v>
      </c>
      <c r="G13" s="30">
        <v>852</v>
      </c>
      <c r="H13" s="30">
        <v>852</v>
      </c>
      <c r="I13" s="30">
        <v>2348</v>
      </c>
      <c r="J13" s="8"/>
    </row>
    <row r="14" spans="1:34" x14ac:dyDescent="0.2">
      <c r="A14" s="13" t="s">
        <v>20</v>
      </c>
      <c r="B14" s="4" t="s">
        <v>5</v>
      </c>
      <c r="C14" s="44" t="e">
        <f t="shared" ref="C14:I14" si="4">C13/(C8/60)/4180</f>
        <v>#REF!</v>
      </c>
      <c r="D14" s="31">
        <f>'Upgr YE2  LS2 '!D14</f>
        <v>2.0407738714374872</v>
      </c>
      <c r="E14" s="31">
        <f>'Upgr YE2  LS2 '!E14</f>
        <v>2.799043062200957</v>
      </c>
      <c r="F14" s="5">
        <f t="shared" si="4"/>
        <v>2.8708133971291865</v>
      </c>
      <c r="G14" s="5">
        <f>G13/(G8/60)/4180</f>
        <v>2.445933014354067</v>
      </c>
      <c r="H14" s="5">
        <f>H13/(H8/60)/4180</f>
        <v>2.445933014354067</v>
      </c>
      <c r="I14" s="5">
        <f t="shared" si="4"/>
        <v>3.3703349282296649</v>
      </c>
      <c r="J14" s="8"/>
    </row>
    <row r="15" spans="1:34" x14ac:dyDescent="0.2">
      <c r="A15" s="13"/>
      <c r="B15" s="4"/>
      <c r="C15" s="44"/>
      <c r="D15" s="32">
        <f>'Upgr YE2  LS2 '!D15</f>
        <v>0</v>
      </c>
      <c r="E15" s="32">
        <f>'Upgr YE2  LS2 '!E15</f>
        <v>0</v>
      </c>
      <c r="F15" s="4"/>
      <c r="G15" s="4"/>
      <c r="H15" s="4"/>
      <c r="I15" s="4"/>
      <c r="J15" s="10"/>
    </row>
    <row r="16" spans="1:34" s="40" customFormat="1" x14ac:dyDescent="0.2">
      <c r="A16" s="13" t="s">
        <v>9</v>
      </c>
      <c r="B16" s="4" t="s">
        <v>10</v>
      </c>
      <c r="C16" s="44">
        <v>1</v>
      </c>
      <c r="D16" s="30">
        <f>'Upgr YE2  LS2 '!D16</f>
        <v>24</v>
      </c>
      <c r="E16" s="30">
        <f>'Upgr YE2  LS2 '!E16</f>
        <v>12</v>
      </c>
      <c r="F16" s="30">
        <v>12</v>
      </c>
      <c r="G16" s="30">
        <v>4</v>
      </c>
      <c r="H16" s="30">
        <v>2</v>
      </c>
      <c r="I16" s="30">
        <v>4</v>
      </c>
      <c r="J16" s="50"/>
      <c r="K16" s="60"/>
      <c r="L16" s="60"/>
      <c r="M16" s="60"/>
      <c r="N16" s="60"/>
      <c r="O16" s="60"/>
      <c r="P16" s="60"/>
      <c r="Q16" s="60"/>
      <c r="R16" s="60"/>
      <c r="S16" s="60"/>
      <c r="T16" s="60"/>
      <c r="U16" s="60"/>
      <c r="V16" s="60"/>
      <c r="W16" s="60"/>
      <c r="X16" s="60"/>
      <c r="Y16" s="60"/>
      <c r="Z16" s="60"/>
      <c r="AA16" s="60"/>
      <c r="AB16" s="60"/>
      <c r="AC16" s="60"/>
      <c r="AD16" s="60"/>
      <c r="AE16" s="60"/>
      <c r="AF16" s="60"/>
      <c r="AG16" s="60"/>
      <c r="AH16" s="60"/>
    </row>
    <row r="17" spans="1:34" x14ac:dyDescent="0.2">
      <c r="A17" s="13" t="s">
        <v>19</v>
      </c>
      <c r="B17" s="4" t="s">
        <v>7</v>
      </c>
      <c r="C17" s="44">
        <f>SUM(D17:I17)</f>
        <v>197.2</v>
      </c>
      <c r="D17" s="30">
        <f>'Upgr YE2  LS2 '!D17</f>
        <v>55.199999999999996</v>
      </c>
      <c r="E17" s="30">
        <f>'Upgr YE2  LS2 '!E17</f>
        <v>48</v>
      </c>
      <c r="F17" s="128">
        <f>F16*F8</f>
        <v>24</v>
      </c>
      <c r="G17" s="30">
        <f>G8*G16</f>
        <v>20</v>
      </c>
      <c r="H17" s="30">
        <f>H8*H16</f>
        <v>10</v>
      </c>
      <c r="I17" s="30">
        <f t="shared" ref="I17" si="5">I8*I16</f>
        <v>40</v>
      </c>
      <c r="J17" s="10"/>
    </row>
    <row r="18" spans="1:34" s="40" customFormat="1" x14ac:dyDescent="0.2">
      <c r="A18" s="13" t="s">
        <v>22</v>
      </c>
      <c r="B18" s="4" t="s">
        <v>8</v>
      </c>
      <c r="C18" s="44">
        <f>SUM(D18:I18)</f>
        <v>31712</v>
      </c>
      <c r="D18" s="30">
        <f>'Upgr YE2  LS2 '!D18</f>
        <v>7848</v>
      </c>
      <c r="E18" s="30">
        <f>'Upgr YE2  LS2 '!E18</f>
        <v>9360</v>
      </c>
      <c r="F18" s="143"/>
      <c r="G18" s="30">
        <f>G16*G13</f>
        <v>3408</v>
      </c>
      <c r="H18" s="30">
        <f>H16*H13</f>
        <v>1704</v>
      </c>
      <c r="I18" s="30">
        <f>I16*I13</f>
        <v>9392</v>
      </c>
      <c r="J18" s="39"/>
      <c r="K18" s="60"/>
      <c r="L18" s="60"/>
      <c r="M18" s="60"/>
      <c r="N18" s="60"/>
      <c r="O18" s="60"/>
      <c r="P18" s="60"/>
      <c r="Q18" s="60"/>
      <c r="R18" s="60"/>
      <c r="S18" s="60"/>
      <c r="T18" s="60"/>
      <c r="U18" s="60"/>
      <c r="V18" s="60"/>
      <c r="W18" s="60"/>
      <c r="X18" s="60"/>
      <c r="Y18" s="60"/>
      <c r="Z18" s="60"/>
      <c r="AA18" s="60"/>
      <c r="AB18" s="60"/>
      <c r="AC18" s="60"/>
      <c r="AD18" s="60"/>
      <c r="AE18" s="60"/>
      <c r="AF18" s="60"/>
      <c r="AG18" s="60"/>
      <c r="AH18" s="60"/>
    </row>
    <row r="19" spans="1:34" x14ac:dyDescent="0.2">
      <c r="A19" s="13" t="s">
        <v>24</v>
      </c>
      <c r="B19" s="4" t="s">
        <v>8</v>
      </c>
      <c r="C19" s="45"/>
      <c r="D19" s="4">
        <f>'Upgr YE2  LS2 '!D19</f>
        <v>0</v>
      </c>
      <c r="E19" s="4">
        <f>'Upgr YE2  LS2 '!E19</f>
        <v>0</v>
      </c>
      <c r="F19" s="3"/>
      <c r="G19" s="3"/>
      <c r="H19" s="3"/>
      <c r="I19" s="4"/>
      <c r="J19" s="12"/>
    </row>
    <row r="20" spans="1:34" x14ac:dyDescent="0.2">
      <c r="A20" s="13"/>
      <c r="B20" s="4"/>
      <c r="C20" s="45"/>
      <c r="D20" s="26"/>
      <c r="E20" s="4"/>
      <c r="F20" s="3"/>
      <c r="G20" s="3"/>
      <c r="H20" s="3"/>
      <c r="I20" s="4"/>
      <c r="J20" s="12"/>
    </row>
    <row r="21" spans="1:34" x14ac:dyDescent="0.2">
      <c r="A21" s="13" t="s">
        <v>15</v>
      </c>
      <c r="B21" s="4" t="s">
        <v>0</v>
      </c>
      <c r="C21" s="46"/>
      <c r="D21" s="27" t="s">
        <v>41</v>
      </c>
      <c r="E21" s="25"/>
      <c r="F21" s="4"/>
      <c r="G21" s="4" t="s">
        <v>44</v>
      </c>
      <c r="H21" s="4"/>
      <c r="I21" s="4"/>
      <c r="J21" s="10"/>
    </row>
    <row r="22" spans="1:34" x14ac:dyDescent="0.2">
      <c r="A22" s="12"/>
      <c r="B22" s="10"/>
      <c r="C22" s="10"/>
      <c r="D22" s="10"/>
      <c r="E22" s="10"/>
      <c r="F22" s="12"/>
      <c r="G22" s="12"/>
      <c r="H22" s="12"/>
      <c r="I22" s="10"/>
      <c r="J22" s="12"/>
    </row>
    <row r="24" spans="1:34" x14ac:dyDescent="0.2">
      <c r="A24" s="35" t="s">
        <v>74</v>
      </c>
      <c r="C24" s="48"/>
    </row>
    <row r="25" spans="1:34" x14ac:dyDescent="0.2">
      <c r="A25" s="16" t="s">
        <v>19</v>
      </c>
      <c r="B25" s="17" t="s">
        <v>7</v>
      </c>
      <c r="C25" s="18" t="e">
        <f>C8</f>
        <v>#REF!</v>
      </c>
      <c r="D25" s="2"/>
      <c r="E25" s="2"/>
      <c r="I25" s="2"/>
    </row>
    <row r="26" spans="1:34" x14ac:dyDescent="0.2">
      <c r="A26" s="16" t="s">
        <v>23</v>
      </c>
      <c r="B26" s="17" t="s">
        <v>94</v>
      </c>
      <c r="C26" s="18">
        <f>C18/1000</f>
        <v>31.712</v>
      </c>
      <c r="D26" s="2"/>
      <c r="E26" s="2"/>
      <c r="I26" s="2"/>
    </row>
    <row r="27" spans="1:34" x14ac:dyDescent="0.2">
      <c r="A27" s="16" t="s">
        <v>21</v>
      </c>
      <c r="B27" s="17" t="s">
        <v>5</v>
      </c>
      <c r="C27" s="19" t="e">
        <f>C26/(C25/60)/4.18</f>
        <v>#REF!</v>
      </c>
      <c r="D27" s="2"/>
      <c r="E27" s="2"/>
      <c r="I27" s="2"/>
    </row>
    <row r="29" spans="1:34" x14ac:dyDescent="0.2">
      <c r="A29" s="133" t="s">
        <v>128</v>
      </c>
      <c r="B29" s="33"/>
      <c r="C29" s="33"/>
    </row>
    <row r="30" spans="1:34" x14ac:dyDescent="0.2">
      <c r="A30" t="s">
        <v>132</v>
      </c>
      <c r="B30" s="33"/>
      <c r="C30" s="33"/>
    </row>
    <row r="31" spans="1:34" s="33" customFormat="1" x14ac:dyDescent="0.2">
      <c r="K31" s="60"/>
      <c r="L31" s="60"/>
      <c r="M31" s="60"/>
      <c r="N31" s="60"/>
      <c r="O31" s="60"/>
      <c r="P31" s="60"/>
      <c r="Q31" s="60"/>
      <c r="R31" s="60"/>
      <c r="S31" s="60"/>
      <c r="T31" s="60"/>
      <c r="U31" s="60"/>
      <c r="V31" s="60"/>
      <c r="W31" s="60"/>
      <c r="X31" s="60"/>
      <c r="Y31" s="60"/>
      <c r="Z31" s="60"/>
      <c r="AA31" s="60"/>
      <c r="AB31" s="60"/>
      <c r="AC31" s="60"/>
      <c r="AD31" s="60"/>
      <c r="AE31" s="60"/>
      <c r="AF31" s="60"/>
      <c r="AG31" s="60"/>
      <c r="AH31" s="60"/>
    </row>
  </sheetData>
  <mergeCells count="1">
    <mergeCell ref="B2:I2"/>
  </mergeCells>
  <pageMargins left="0.75" right="0.75" top="1" bottom="1" header="0.5" footer="0.5"/>
  <pageSetup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31"/>
  <sheetViews>
    <sheetView showGridLines="0" zoomScale="139" zoomScaleNormal="90" workbookViewId="0">
      <selection activeCell="G13" sqref="G13"/>
    </sheetView>
  </sheetViews>
  <sheetFormatPr defaultColWidth="8.85546875" defaultRowHeight="12.75" x14ac:dyDescent="0.2"/>
  <cols>
    <col min="1" max="1" width="22.7109375" customWidth="1"/>
    <col min="2" max="2" width="7.7109375" customWidth="1"/>
    <col min="3" max="3" width="8.7109375" customWidth="1"/>
    <col min="4" max="8" width="7.7109375" customWidth="1"/>
    <col min="9" max="9" width="8.7109375" customWidth="1"/>
    <col min="10" max="10" width="7.7109375" customWidth="1"/>
    <col min="11" max="11" width="9" customWidth="1"/>
    <col min="12" max="52" width="8.85546875" style="59"/>
  </cols>
  <sheetData>
    <row r="1" spans="1:52" ht="18" x14ac:dyDescent="0.25">
      <c r="A1" s="20" t="s">
        <v>32</v>
      </c>
    </row>
    <row r="2" spans="1:52" x14ac:dyDescent="0.2">
      <c r="B2" s="136" t="s">
        <v>62</v>
      </c>
      <c r="C2" s="136"/>
      <c r="D2" s="136"/>
      <c r="E2" s="136"/>
      <c r="F2" s="136"/>
      <c r="G2" s="136"/>
      <c r="H2" s="136"/>
      <c r="I2" s="136"/>
      <c r="J2" s="136"/>
      <c r="K2" s="136"/>
    </row>
    <row r="3" spans="1:52" ht="63.75" x14ac:dyDescent="0.2">
      <c r="A3" s="11"/>
      <c r="B3" s="14" t="s">
        <v>3</v>
      </c>
      <c r="C3" s="47" t="s">
        <v>33</v>
      </c>
      <c r="D3" s="14" t="s">
        <v>39</v>
      </c>
      <c r="E3" s="14" t="s">
        <v>40</v>
      </c>
      <c r="F3" s="14" t="s">
        <v>34</v>
      </c>
      <c r="G3" s="14" t="s">
        <v>60</v>
      </c>
      <c r="H3" s="14" t="s">
        <v>13</v>
      </c>
      <c r="I3" s="15" t="s">
        <v>53</v>
      </c>
      <c r="J3" s="14" t="s">
        <v>54</v>
      </c>
      <c r="K3" s="14" t="s">
        <v>55</v>
      </c>
    </row>
    <row r="4" spans="1:52" x14ac:dyDescent="0.2">
      <c r="A4" s="13" t="s">
        <v>1</v>
      </c>
      <c r="B4" s="4" t="s">
        <v>6</v>
      </c>
      <c r="C4" s="43">
        <v>48.26</v>
      </c>
      <c r="D4" s="5">
        <v>9.5250000000000004</v>
      </c>
      <c r="E4" s="5">
        <v>9.5250000000000004</v>
      </c>
      <c r="F4" s="140">
        <v>8</v>
      </c>
      <c r="G4" s="140">
        <v>8</v>
      </c>
      <c r="H4" s="5">
        <v>12.7</v>
      </c>
      <c r="I4" s="5">
        <v>12.7</v>
      </c>
      <c r="J4" s="5">
        <v>12.7</v>
      </c>
      <c r="K4" s="5">
        <v>12.7</v>
      </c>
      <c r="M4" s="66"/>
      <c r="N4" s="66"/>
      <c r="O4" s="66"/>
      <c r="P4" s="66"/>
      <c r="Q4" s="66"/>
      <c r="R4" s="66"/>
      <c r="S4" s="66"/>
      <c r="T4" s="66"/>
      <c r="U4" s="66"/>
      <c r="V4" s="66"/>
    </row>
    <row r="5" spans="1:52" x14ac:dyDescent="0.2">
      <c r="A5" s="13" t="s">
        <v>2</v>
      </c>
      <c r="B5" s="4" t="s">
        <v>6</v>
      </c>
      <c r="C5" s="43">
        <v>1.65</v>
      </c>
      <c r="D5" s="5">
        <v>0.81279999999999997</v>
      </c>
      <c r="E5" s="5">
        <v>0.81279999999999997</v>
      </c>
      <c r="F5" s="140">
        <v>1</v>
      </c>
      <c r="G5" s="140">
        <v>1</v>
      </c>
      <c r="H5" s="5">
        <v>1.24</v>
      </c>
      <c r="I5" s="5">
        <v>1.24</v>
      </c>
      <c r="J5" s="5">
        <v>1.24</v>
      </c>
      <c r="K5" s="5">
        <v>1.24</v>
      </c>
      <c r="M5" s="66"/>
      <c r="N5" s="66"/>
      <c r="O5" s="66"/>
      <c r="P5" s="66"/>
      <c r="Q5" s="66"/>
      <c r="R5" s="66"/>
      <c r="S5" s="66"/>
      <c r="T5" s="66"/>
      <c r="U5" s="66"/>
      <c r="V5" s="66"/>
    </row>
    <row r="6" spans="1:52" x14ac:dyDescent="0.2">
      <c r="A6" s="13" t="s">
        <v>25</v>
      </c>
      <c r="B6" s="4" t="s">
        <v>6</v>
      </c>
      <c r="C6" s="43">
        <f t="shared" ref="C6:I6" si="0">C4-(2*C5)</f>
        <v>44.96</v>
      </c>
      <c r="D6" s="5">
        <f t="shared" si="0"/>
        <v>7.8994</v>
      </c>
      <c r="E6" s="5">
        <f t="shared" si="0"/>
        <v>7.8994</v>
      </c>
      <c r="F6" s="140">
        <f t="shared" si="0"/>
        <v>6</v>
      </c>
      <c r="G6" s="140">
        <f>G4-(2*G5)</f>
        <v>6</v>
      </c>
      <c r="H6" s="5">
        <f t="shared" si="0"/>
        <v>10.219999999999999</v>
      </c>
      <c r="I6" s="5">
        <f t="shared" si="0"/>
        <v>10.219999999999999</v>
      </c>
      <c r="J6" s="31">
        <f>J4-(2*J5)</f>
        <v>10.219999999999999</v>
      </c>
      <c r="K6" s="5">
        <f>K4-(2*K5)</f>
        <v>10.219999999999999</v>
      </c>
      <c r="M6" s="66"/>
      <c r="N6" s="66"/>
      <c r="O6" s="66"/>
      <c r="P6" s="66"/>
      <c r="Q6" s="66"/>
      <c r="R6" s="66"/>
      <c r="S6" s="66"/>
      <c r="T6" s="66"/>
      <c r="U6" s="66"/>
      <c r="V6" s="66"/>
    </row>
    <row r="7" spans="1:52" ht="14.25" x14ac:dyDescent="0.2">
      <c r="A7" s="13" t="s">
        <v>26</v>
      </c>
      <c r="B7" s="4" t="s">
        <v>11</v>
      </c>
      <c r="C7" s="44">
        <f t="shared" ref="C7:I7" si="1">0.25*3.14*(C6^2)</f>
        <v>1586.8002560000002</v>
      </c>
      <c r="D7" s="6">
        <f t="shared" si="1"/>
        <v>48.984408482600003</v>
      </c>
      <c r="E7" s="6">
        <f t="shared" si="1"/>
        <v>48.984408482600003</v>
      </c>
      <c r="F7" s="141">
        <f t="shared" si="1"/>
        <v>28.26</v>
      </c>
      <c r="G7" s="141">
        <f>0.25*3.14*(G6^2)</f>
        <v>28.26</v>
      </c>
      <c r="H7" s="6">
        <f t="shared" si="1"/>
        <v>81.991993999999991</v>
      </c>
      <c r="I7" s="6">
        <f t="shared" si="1"/>
        <v>81.991993999999991</v>
      </c>
      <c r="J7" s="30">
        <f>0.25*3.14*(J6^2)</f>
        <v>81.991993999999991</v>
      </c>
      <c r="K7" s="6">
        <f>0.25*3.14*(K6^2)</f>
        <v>81.991993999999991</v>
      </c>
      <c r="M7" s="66"/>
      <c r="N7" s="66"/>
      <c r="O7" s="66"/>
      <c r="P7" s="66"/>
      <c r="Q7" s="66"/>
      <c r="R7" s="66"/>
      <c r="S7" s="66"/>
      <c r="T7" s="66"/>
      <c r="U7" s="66"/>
      <c r="V7" s="66"/>
    </row>
    <row r="8" spans="1:52" s="40" customFormat="1" x14ac:dyDescent="0.2">
      <c r="A8" s="13" t="s">
        <v>4</v>
      </c>
      <c r="B8" s="4" t="s">
        <v>7</v>
      </c>
      <c r="C8" s="44">
        <f>(D8*D16)+(E8*E16)+(F8*F16)+(G8*G16)+(H8*H16)+(I8*I16)+(J8*J16)+(K8*K16)+(L8*L16)+(M8*M16)+(N8*N16)+(O8*O16)</f>
        <v>198.8</v>
      </c>
      <c r="D8" s="32">
        <v>2.2999999999999998</v>
      </c>
      <c r="E8" s="32">
        <v>2.2999999999999998</v>
      </c>
      <c r="F8" s="142">
        <v>2</v>
      </c>
      <c r="G8" s="142">
        <v>2</v>
      </c>
      <c r="H8" s="32">
        <v>2</v>
      </c>
      <c r="I8" s="132">
        <v>4.7</v>
      </c>
      <c r="J8" s="32">
        <v>4.7</v>
      </c>
      <c r="K8" s="32">
        <v>9.5</v>
      </c>
      <c r="L8" s="59"/>
      <c r="M8" s="66"/>
      <c r="N8" s="66"/>
      <c r="O8" s="66"/>
      <c r="P8" s="66"/>
      <c r="Q8" s="66"/>
      <c r="R8" s="66"/>
      <c r="S8" s="66"/>
      <c r="T8" s="66"/>
      <c r="U8" s="66"/>
      <c r="V8" s="66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59"/>
      <c r="AH8" s="59"/>
      <c r="AI8" s="59"/>
      <c r="AJ8" s="59"/>
      <c r="AK8" s="59"/>
      <c r="AL8" s="59"/>
      <c r="AM8" s="59"/>
      <c r="AN8" s="59"/>
      <c r="AO8" s="59"/>
      <c r="AP8" s="59"/>
      <c r="AQ8" s="59"/>
      <c r="AR8" s="59"/>
      <c r="AS8" s="59"/>
      <c r="AT8" s="59"/>
      <c r="AU8" s="59"/>
      <c r="AV8" s="59"/>
      <c r="AW8" s="59"/>
      <c r="AX8" s="59"/>
      <c r="AY8" s="59"/>
      <c r="AZ8" s="59"/>
    </row>
    <row r="9" spans="1:52" x14ac:dyDescent="0.2">
      <c r="A9" s="13" t="s">
        <v>38</v>
      </c>
      <c r="B9" s="4" t="s">
        <v>14</v>
      </c>
      <c r="C9" s="44">
        <f t="shared" ref="C9:I9" si="2">(C8*1000/60)/C7</f>
        <v>2.0880594900366169</v>
      </c>
      <c r="D9" s="5">
        <f t="shared" si="2"/>
        <v>0.78256193186348078</v>
      </c>
      <c r="E9" s="31">
        <f t="shared" si="2"/>
        <v>0.78256193186348078</v>
      </c>
      <c r="F9" s="140">
        <f t="shared" si="2"/>
        <v>1.1795234725171031</v>
      </c>
      <c r="G9" s="140">
        <f>(G8*1000/60)/G7</f>
        <v>1.1795234725171031</v>
      </c>
      <c r="H9" s="5">
        <f t="shared" si="2"/>
        <v>0.40654375759337358</v>
      </c>
      <c r="I9" s="5">
        <f t="shared" si="2"/>
        <v>0.95537783034442769</v>
      </c>
      <c r="J9" s="31">
        <f>(J8*1000/60)/J7</f>
        <v>0.95537783034442769</v>
      </c>
      <c r="K9" s="5">
        <f>(K8*1000/60)/K7</f>
        <v>1.9310828485685243</v>
      </c>
      <c r="M9" s="66"/>
      <c r="N9" s="66"/>
      <c r="O9" s="66"/>
      <c r="P9" s="66"/>
      <c r="Q9" s="66"/>
      <c r="R9" s="66"/>
      <c r="S9" s="66"/>
      <c r="T9" s="66"/>
      <c r="U9" s="66"/>
      <c r="V9" s="66"/>
    </row>
    <row r="10" spans="1:52" x14ac:dyDescent="0.2">
      <c r="A10" s="13" t="s">
        <v>42</v>
      </c>
      <c r="B10" s="4" t="s">
        <v>43</v>
      </c>
      <c r="C10" s="44">
        <f t="shared" ref="C10:I10" si="3">(C9*(C6/1000))/(1.035*10^-6)</f>
        <v>90704.497267677594</v>
      </c>
      <c r="D10" s="6">
        <f t="shared" si="3"/>
        <v>5972.7243715578552</v>
      </c>
      <c r="E10" s="30">
        <f t="shared" si="3"/>
        <v>5972.7243715578552</v>
      </c>
      <c r="F10" s="141">
        <f t="shared" si="3"/>
        <v>6837.8172319832074</v>
      </c>
      <c r="G10" s="141">
        <f>(G9*(G6/1000))/(1.035*10^-6)</f>
        <v>6837.8172319832074</v>
      </c>
      <c r="H10" s="6">
        <f t="shared" si="3"/>
        <v>4014.374108796404</v>
      </c>
      <c r="I10" s="6">
        <f t="shared" si="3"/>
        <v>9433.7791556715456</v>
      </c>
      <c r="J10" s="30">
        <f>(J9*(J6/1000))/(1.035*10^-6)</f>
        <v>9433.7791556715456</v>
      </c>
      <c r="K10" s="6">
        <f>(K9*(K6/1000))/(1.035*10^-6)</f>
        <v>19068.277016782915</v>
      </c>
      <c r="M10" s="66"/>
      <c r="N10" s="66"/>
      <c r="O10" s="66"/>
      <c r="P10" s="66"/>
      <c r="Q10" s="66"/>
      <c r="R10" s="66"/>
      <c r="S10" s="66"/>
      <c r="T10" s="66"/>
      <c r="U10" s="66"/>
      <c r="V10" s="66"/>
    </row>
    <row r="11" spans="1:52" s="40" customFormat="1" x14ac:dyDescent="0.2">
      <c r="A11" s="13" t="s">
        <v>69</v>
      </c>
      <c r="B11" s="4" t="s">
        <v>8</v>
      </c>
      <c r="C11" s="44"/>
      <c r="D11" s="30">
        <f>D13/D12</f>
        <v>120</v>
      </c>
      <c r="E11" s="30">
        <v>123</v>
      </c>
      <c r="F11" s="141">
        <v>10</v>
      </c>
      <c r="G11" s="141">
        <v>10</v>
      </c>
      <c r="H11" s="30"/>
      <c r="I11" s="30"/>
      <c r="J11" s="30"/>
      <c r="K11" s="30"/>
      <c r="L11" s="59"/>
      <c r="M11" s="66"/>
      <c r="N11" s="66"/>
      <c r="O11" s="66"/>
      <c r="P11" s="66"/>
      <c r="Q11" s="66"/>
      <c r="R11" s="66"/>
      <c r="S11" s="66"/>
      <c r="T11" s="66"/>
      <c r="U11" s="66"/>
      <c r="V11" s="66"/>
      <c r="W11" s="59"/>
      <c r="X11" s="59"/>
      <c r="Y11" s="59"/>
      <c r="Z11" s="59"/>
      <c r="AA11" s="59"/>
      <c r="AB11" s="59"/>
      <c r="AC11" s="59"/>
      <c r="AD11" s="59"/>
      <c r="AE11" s="59"/>
      <c r="AF11" s="59"/>
      <c r="AG11" s="59"/>
      <c r="AH11" s="59"/>
      <c r="AI11" s="59"/>
      <c r="AJ11" s="59"/>
      <c r="AK11" s="59"/>
      <c r="AL11" s="59"/>
      <c r="AM11" s="59"/>
      <c r="AN11" s="59"/>
      <c r="AO11" s="59"/>
      <c r="AP11" s="59"/>
      <c r="AQ11" s="59"/>
      <c r="AR11" s="59"/>
      <c r="AS11" s="59"/>
      <c r="AT11" s="59"/>
      <c r="AU11" s="59"/>
      <c r="AV11" s="59"/>
      <c r="AW11" s="59"/>
      <c r="AX11" s="59"/>
      <c r="AY11" s="59"/>
      <c r="AZ11" s="59"/>
    </row>
    <row r="12" spans="1:52" s="40" customFormat="1" x14ac:dyDescent="0.2">
      <c r="A12" s="13" t="s">
        <v>70</v>
      </c>
      <c r="B12" s="4" t="s">
        <v>80</v>
      </c>
      <c r="C12" s="44"/>
      <c r="D12" s="30">
        <v>3</v>
      </c>
      <c r="E12" s="30">
        <v>3</v>
      </c>
      <c r="F12" s="141">
        <v>4</v>
      </c>
      <c r="G12" s="141">
        <v>4</v>
      </c>
      <c r="H12" s="30"/>
      <c r="I12" s="30"/>
      <c r="J12" s="30"/>
      <c r="K12" s="30"/>
      <c r="L12" s="59"/>
      <c r="M12" s="66"/>
      <c r="N12" s="66"/>
      <c r="O12" s="66"/>
      <c r="P12" s="66"/>
      <c r="Q12" s="66"/>
      <c r="R12" s="66"/>
      <c r="S12" s="66"/>
      <c r="T12" s="66"/>
      <c r="U12" s="66"/>
      <c r="V12" s="66"/>
      <c r="W12" s="59"/>
      <c r="X12" s="59"/>
      <c r="Y12" s="59"/>
      <c r="Z12" s="59"/>
      <c r="AA12" s="59"/>
      <c r="AB12" s="59"/>
      <c r="AC12" s="59"/>
      <c r="AD12" s="59"/>
      <c r="AE12" s="59"/>
      <c r="AF12" s="59"/>
      <c r="AG12" s="59"/>
      <c r="AH12" s="59"/>
      <c r="AI12" s="59"/>
      <c r="AJ12" s="59"/>
      <c r="AK12" s="59"/>
      <c r="AL12" s="59"/>
      <c r="AM12" s="59"/>
      <c r="AN12" s="59"/>
      <c r="AO12" s="59"/>
      <c r="AP12" s="59"/>
      <c r="AQ12" s="59"/>
      <c r="AR12" s="59"/>
      <c r="AS12" s="59"/>
      <c r="AT12" s="59"/>
      <c r="AU12" s="59"/>
      <c r="AV12" s="59"/>
      <c r="AW12" s="59"/>
      <c r="AX12" s="59"/>
      <c r="AY12" s="59"/>
      <c r="AZ12" s="59"/>
    </row>
    <row r="13" spans="1:52" x14ac:dyDescent="0.2">
      <c r="A13" s="13" t="s">
        <v>17</v>
      </c>
      <c r="B13" s="4" t="s">
        <v>8</v>
      </c>
      <c r="C13" s="44">
        <f>C18</f>
        <v>20226</v>
      </c>
      <c r="D13" s="6">
        <v>360</v>
      </c>
      <c r="E13" s="30">
        <v>369</v>
      </c>
      <c r="F13" s="141">
        <f>F12*F11</f>
        <v>40</v>
      </c>
      <c r="G13" s="141">
        <f>G12*G11</f>
        <v>40</v>
      </c>
      <c r="H13" s="6"/>
      <c r="I13" s="6">
        <v>426</v>
      </c>
      <c r="J13" s="30">
        <v>1000</v>
      </c>
      <c r="K13" s="6">
        <v>2516</v>
      </c>
      <c r="M13" s="66"/>
      <c r="N13" s="66"/>
      <c r="O13" s="66"/>
      <c r="P13" s="66"/>
      <c r="Q13" s="66"/>
      <c r="R13" s="66"/>
      <c r="S13" s="66"/>
      <c r="T13" s="66"/>
      <c r="U13" s="66"/>
      <c r="V13" s="66"/>
    </row>
    <row r="14" spans="1:52" x14ac:dyDescent="0.2">
      <c r="A14" s="13" t="s">
        <v>20</v>
      </c>
      <c r="B14" s="4" t="s">
        <v>5</v>
      </c>
      <c r="C14" s="44">
        <f t="shared" ref="C14:I14" si="4">C13/(C8/60)/4180</f>
        <v>1.4603891290325686</v>
      </c>
      <c r="D14" s="5">
        <f t="shared" si="4"/>
        <v>2.2467235281880593</v>
      </c>
      <c r="E14" s="31">
        <f t="shared" si="4"/>
        <v>2.3028916163927606</v>
      </c>
      <c r="F14" s="140">
        <f t="shared" si="4"/>
        <v>0.28708133971291866</v>
      </c>
      <c r="G14" s="140">
        <f>G13/(G8/60)/4180</f>
        <v>0.28708133971291866</v>
      </c>
      <c r="H14" s="5">
        <f t="shared" si="4"/>
        <v>0</v>
      </c>
      <c r="I14" s="131">
        <f t="shared" si="4"/>
        <v>1.3010281991245036</v>
      </c>
      <c r="J14" s="31">
        <f>J13/(J8/60)/4180</f>
        <v>3.0540568054565815</v>
      </c>
      <c r="K14" s="5">
        <f>K13/(K8/60)/4180</f>
        <v>3.8015613195668601</v>
      </c>
      <c r="M14" s="66"/>
      <c r="N14" s="66"/>
      <c r="O14" s="66"/>
      <c r="P14" s="66"/>
      <c r="Q14" s="66"/>
      <c r="R14" s="66"/>
      <c r="S14" s="66"/>
      <c r="T14" s="66"/>
      <c r="U14" s="66"/>
      <c r="V14" s="66"/>
    </row>
    <row r="15" spans="1:52" x14ac:dyDescent="0.2">
      <c r="A15" s="13"/>
      <c r="B15" s="4"/>
      <c r="C15" s="44"/>
      <c r="D15" s="4"/>
      <c r="E15" s="32"/>
      <c r="F15" s="142"/>
      <c r="G15" s="142"/>
      <c r="H15" s="4"/>
      <c r="I15" s="4"/>
      <c r="J15" s="32"/>
      <c r="K15" s="4"/>
      <c r="M15" s="66"/>
      <c r="N15" s="66"/>
      <c r="O15" s="66"/>
      <c r="P15" s="66"/>
      <c r="Q15" s="66"/>
      <c r="R15" s="66"/>
      <c r="S15" s="66"/>
      <c r="T15" s="66"/>
      <c r="U15" s="66"/>
      <c r="V15" s="66"/>
    </row>
    <row r="16" spans="1:52" s="40" customFormat="1" x14ac:dyDescent="0.2">
      <c r="A16" s="13" t="s">
        <v>9</v>
      </c>
      <c r="B16" s="4" t="s">
        <v>10</v>
      </c>
      <c r="C16" s="44">
        <v>1</v>
      </c>
      <c r="D16" s="30">
        <v>12</v>
      </c>
      <c r="E16" s="32">
        <v>6</v>
      </c>
      <c r="F16" s="141">
        <v>18</v>
      </c>
      <c r="G16" s="141">
        <v>18</v>
      </c>
      <c r="H16" s="30">
        <v>12</v>
      </c>
      <c r="I16" s="30">
        <v>4</v>
      </c>
      <c r="J16" s="30">
        <v>3</v>
      </c>
      <c r="K16" s="30">
        <v>3</v>
      </c>
      <c r="L16" s="59"/>
      <c r="M16" s="66"/>
      <c r="N16" s="66"/>
      <c r="O16" s="66"/>
      <c r="P16" s="66"/>
      <c r="Q16" s="66"/>
      <c r="R16" s="66"/>
      <c r="S16" s="66"/>
      <c r="T16" s="66"/>
      <c r="U16" s="66"/>
      <c r="V16" s="66"/>
      <c r="W16" s="59"/>
      <c r="X16" s="59"/>
      <c r="Y16" s="59"/>
      <c r="Z16" s="59"/>
      <c r="AA16" s="59"/>
      <c r="AB16" s="59"/>
      <c r="AC16" s="59"/>
      <c r="AD16" s="59"/>
      <c r="AE16" s="59"/>
      <c r="AF16" s="59"/>
      <c r="AG16" s="59"/>
      <c r="AH16" s="59"/>
      <c r="AI16" s="59"/>
      <c r="AJ16" s="59"/>
      <c r="AK16" s="59"/>
      <c r="AL16" s="59"/>
      <c r="AM16" s="59"/>
      <c r="AN16" s="59"/>
      <c r="AO16" s="59"/>
      <c r="AP16" s="59"/>
      <c r="AQ16" s="59"/>
      <c r="AR16" s="59"/>
      <c r="AS16" s="59"/>
      <c r="AT16" s="59"/>
      <c r="AU16" s="59"/>
      <c r="AV16" s="59"/>
      <c r="AW16" s="59"/>
      <c r="AX16" s="59"/>
      <c r="AY16" s="59"/>
      <c r="AZ16" s="59"/>
    </row>
    <row r="17" spans="1:52" x14ac:dyDescent="0.2">
      <c r="A17" s="13" t="s">
        <v>19</v>
      </c>
      <c r="B17" s="4" t="s">
        <v>7</v>
      </c>
      <c r="C17" s="44">
        <f>SUM(D17:K17)</f>
        <v>198.8</v>
      </c>
      <c r="D17" s="4">
        <f>D16*D8</f>
        <v>27.599999999999998</v>
      </c>
      <c r="E17" s="32">
        <f>E16*E8</f>
        <v>13.799999999999999</v>
      </c>
      <c r="F17" s="142">
        <f t="shared" ref="F17:K17" si="5">F16*F8</f>
        <v>36</v>
      </c>
      <c r="G17" s="142">
        <f>G16*G8</f>
        <v>36</v>
      </c>
      <c r="H17" s="129">
        <f t="shared" ref="H17" si="6">H16*H8</f>
        <v>24</v>
      </c>
      <c r="I17" s="132">
        <f t="shared" si="5"/>
        <v>18.8</v>
      </c>
      <c r="J17" s="32">
        <f t="shared" si="5"/>
        <v>14.100000000000001</v>
      </c>
      <c r="K17" s="4">
        <f t="shared" si="5"/>
        <v>28.5</v>
      </c>
      <c r="M17" s="66"/>
      <c r="N17" s="66"/>
      <c r="O17" s="66"/>
      <c r="P17" s="66"/>
      <c r="Q17" s="66"/>
      <c r="R17" s="66"/>
      <c r="S17" s="66"/>
      <c r="T17" s="66"/>
      <c r="U17" s="66"/>
      <c r="V17" s="66"/>
    </row>
    <row r="18" spans="1:52" x14ac:dyDescent="0.2">
      <c r="A18" s="13" t="s">
        <v>22</v>
      </c>
      <c r="B18" s="4" t="s">
        <v>8</v>
      </c>
      <c r="C18" s="44">
        <f>SUM(D18:K18)</f>
        <v>20226</v>
      </c>
      <c r="D18" s="6">
        <f>D16*D13</f>
        <v>4320</v>
      </c>
      <c r="E18" s="30">
        <f>E16*E13</f>
        <v>2214</v>
      </c>
      <c r="F18" s="141">
        <f>F16*F13</f>
        <v>720</v>
      </c>
      <c r="G18" s="141">
        <f>G16*G13</f>
        <v>720</v>
      </c>
      <c r="H18" s="6"/>
      <c r="I18" s="6">
        <f>I16*I13</f>
        <v>1704</v>
      </c>
      <c r="J18" s="30">
        <f>J16*J13</f>
        <v>3000</v>
      </c>
      <c r="K18" s="6">
        <f>K16*K13</f>
        <v>7548</v>
      </c>
      <c r="M18" s="66"/>
      <c r="N18" s="66"/>
      <c r="O18" s="66"/>
      <c r="P18" s="66"/>
      <c r="Q18" s="66"/>
      <c r="R18" s="66"/>
      <c r="S18" s="66"/>
      <c r="T18" s="66"/>
      <c r="U18" s="66"/>
      <c r="V18" s="66"/>
    </row>
    <row r="19" spans="1:52" x14ac:dyDescent="0.2">
      <c r="A19" s="13" t="s">
        <v>24</v>
      </c>
      <c r="B19" s="4" t="s">
        <v>8</v>
      </c>
      <c r="C19" s="45"/>
      <c r="D19" s="4"/>
      <c r="E19" s="4"/>
      <c r="F19" s="4"/>
      <c r="G19" s="4"/>
      <c r="H19" s="3">
        <f>H16*H13</f>
        <v>0</v>
      </c>
      <c r="I19" s="3"/>
      <c r="J19" s="4"/>
      <c r="K19" s="4"/>
      <c r="M19" s="66"/>
      <c r="N19" s="66"/>
      <c r="O19" s="66"/>
      <c r="P19" s="66"/>
      <c r="Q19" s="66"/>
      <c r="R19" s="66"/>
      <c r="S19" s="66"/>
      <c r="T19" s="66"/>
      <c r="U19" s="66"/>
      <c r="V19" s="66"/>
    </row>
    <row r="20" spans="1:52" x14ac:dyDescent="0.2">
      <c r="A20" s="13"/>
      <c r="B20" s="4"/>
      <c r="C20" s="45"/>
      <c r="D20" s="4"/>
      <c r="E20" s="4"/>
      <c r="F20" s="4"/>
      <c r="G20" s="4"/>
      <c r="H20" s="3"/>
      <c r="I20" s="3"/>
      <c r="J20" s="4"/>
      <c r="K20" s="4"/>
      <c r="M20" s="66"/>
      <c r="N20" s="66"/>
      <c r="O20" s="66"/>
      <c r="P20" s="66"/>
      <c r="Q20" s="66"/>
      <c r="R20" s="66"/>
      <c r="S20" s="66"/>
      <c r="T20" s="66"/>
      <c r="U20" s="66"/>
      <c r="V20" s="66"/>
    </row>
    <row r="21" spans="1:52" x14ac:dyDescent="0.2">
      <c r="A21" s="13" t="s">
        <v>15</v>
      </c>
      <c r="B21" s="4" t="s">
        <v>0</v>
      </c>
      <c r="C21" s="45"/>
      <c r="D21" s="4"/>
      <c r="E21" s="4"/>
      <c r="F21" s="4"/>
      <c r="G21" s="4"/>
      <c r="H21" s="4"/>
      <c r="I21" s="4"/>
      <c r="J21" s="4"/>
      <c r="K21" s="4"/>
      <c r="M21" s="66"/>
      <c r="N21" s="66"/>
      <c r="O21" s="66"/>
      <c r="P21" s="66"/>
      <c r="Q21" s="66"/>
      <c r="R21" s="66"/>
      <c r="S21" s="66"/>
      <c r="T21" s="66"/>
      <c r="U21" s="66"/>
      <c r="V21" s="66"/>
    </row>
    <row r="22" spans="1:52" x14ac:dyDescent="0.2">
      <c r="A22" s="12"/>
      <c r="B22" s="10"/>
      <c r="C22" s="10"/>
      <c r="D22" s="10"/>
      <c r="E22" s="10"/>
      <c r="F22" s="10"/>
      <c r="G22" s="10"/>
      <c r="H22" s="12"/>
      <c r="I22" s="12"/>
      <c r="J22" s="10"/>
      <c r="K22" s="10"/>
      <c r="M22" s="66"/>
      <c r="N22" s="66"/>
      <c r="O22" s="66"/>
      <c r="P22" s="66"/>
      <c r="Q22" s="66"/>
      <c r="R22" s="66"/>
      <c r="S22" s="66"/>
      <c r="T22" s="66"/>
      <c r="U22" s="66"/>
      <c r="V22" s="66"/>
    </row>
    <row r="23" spans="1:52" x14ac:dyDescent="0.2">
      <c r="A23" s="62" t="s">
        <v>75</v>
      </c>
      <c r="B23" s="10"/>
      <c r="C23" s="10"/>
      <c r="D23" s="10"/>
      <c r="E23" s="10"/>
      <c r="F23" s="10"/>
      <c r="G23" s="10"/>
      <c r="H23" s="12"/>
      <c r="I23" s="12"/>
      <c r="J23" s="10"/>
      <c r="K23" s="10"/>
      <c r="M23" s="66"/>
      <c r="N23" s="66"/>
      <c r="O23" s="66"/>
      <c r="P23" s="66"/>
      <c r="Q23" s="66"/>
      <c r="R23" s="66"/>
      <c r="S23" s="66"/>
      <c r="T23" s="66"/>
      <c r="U23" s="66"/>
      <c r="V23" s="66"/>
    </row>
    <row r="24" spans="1:52" x14ac:dyDescent="0.2">
      <c r="A24" s="16" t="s">
        <v>19</v>
      </c>
      <c r="B24" s="17" t="s">
        <v>7</v>
      </c>
      <c r="C24" s="18">
        <f>C8</f>
        <v>198.8</v>
      </c>
      <c r="D24" s="2"/>
      <c r="E24" s="2"/>
      <c r="F24" s="2"/>
      <c r="G24" s="2"/>
      <c r="J24" s="2"/>
      <c r="K24" s="2"/>
      <c r="M24" s="66"/>
      <c r="N24" s="66"/>
      <c r="O24" s="66"/>
      <c r="P24" s="66"/>
      <c r="Q24" s="66"/>
      <c r="R24" s="66"/>
      <c r="S24" s="66"/>
      <c r="T24" s="66"/>
      <c r="U24" s="66"/>
      <c r="V24" s="66"/>
    </row>
    <row r="25" spans="1:52" x14ac:dyDescent="0.2">
      <c r="A25" s="16" t="s">
        <v>23</v>
      </c>
      <c r="B25" s="17" t="s">
        <v>94</v>
      </c>
      <c r="C25" s="18">
        <f>C18/1000</f>
        <v>20.225999999999999</v>
      </c>
      <c r="D25" s="2"/>
      <c r="E25" s="2"/>
      <c r="F25" s="2"/>
      <c r="G25" s="2"/>
      <c r="J25" s="2"/>
      <c r="K25" s="2"/>
      <c r="M25" s="66"/>
      <c r="N25" s="66"/>
      <c r="O25" s="66"/>
      <c r="P25" s="66"/>
      <c r="Q25" s="66"/>
      <c r="R25" s="66"/>
      <c r="S25" s="66"/>
      <c r="T25" s="66"/>
      <c r="U25" s="66"/>
      <c r="V25" s="66"/>
    </row>
    <row r="26" spans="1:52" x14ac:dyDescent="0.2">
      <c r="A26" s="16" t="s">
        <v>21</v>
      </c>
      <c r="B26" s="17" t="s">
        <v>5</v>
      </c>
      <c r="C26" s="19">
        <f>C25/(C24/60)/4.18</f>
        <v>1.4603891290325686</v>
      </c>
      <c r="D26" s="2"/>
      <c r="E26" s="2"/>
      <c r="F26" s="2"/>
      <c r="G26" s="2"/>
      <c r="J26" s="2"/>
      <c r="K26" s="2"/>
      <c r="M26" s="66"/>
      <c r="N26" s="66"/>
      <c r="O26" s="66"/>
      <c r="P26" s="66"/>
      <c r="Q26" s="66"/>
      <c r="R26" s="66"/>
      <c r="S26" s="66"/>
      <c r="T26" s="66"/>
      <c r="U26" s="66"/>
      <c r="V26" s="66"/>
    </row>
    <row r="27" spans="1:52" x14ac:dyDescent="0.2">
      <c r="B27" s="2"/>
      <c r="C27" s="2"/>
      <c r="D27" s="2"/>
      <c r="E27" s="2"/>
      <c r="F27" s="2"/>
      <c r="G27" s="2"/>
      <c r="J27" s="2"/>
      <c r="K27" s="2"/>
      <c r="M27" s="66"/>
      <c r="N27" s="66"/>
      <c r="O27" s="66"/>
      <c r="P27" s="66"/>
      <c r="Q27" s="66"/>
      <c r="R27" s="66"/>
      <c r="S27" s="66"/>
      <c r="T27" s="66"/>
      <c r="U27" s="66"/>
      <c r="V27" s="66"/>
    </row>
    <row r="28" spans="1:52" x14ac:dyDescent="0.2">
      <c r="B28" s="2"/>
      <c r="C28" s="2"/>
      <c r="D28" s="2"/>
      <c r="E28" s="2"/>
      <c r="F28" s="2"/>
      <c r="G28" s="2"/>
      <c r="J28" s="2"/>
      <c r="K28" s="2"/>
    </row>
    <row r="29" spans="1:52" s="33" customFormat="1" x14ac:dyDescent="0.2">
      <c r="L29" s="59"/>
      <c r="M29" s="59"/>
      <c r="N29" s="59"/>
      <c r="O29" s="59"/>
      <c r="P29" s="59"/>
      <c r="Q29" s="59"/>
      <c r="R29" s="59"/>
      <c r="S29" s="59"/>
      <c r="T29" s="59"/>
      <c r="U29" s="59"/>
      <c r="V29" s="59"/>
      <c r="W29" s="59"/>
      <c r="X29" s="59"/>
      <c r="Y29" s="59"/>
      <c r="Z29" s="59"/>
      <c r="AA29" s="59"/>
      <c r="AB29" s="59"/>
      <c r="AC29" s="59"/>
      <c r="AD29" s="59"/>
      <c r="AE29" s="59"/>
      <c r="AF29" s="59"/>
      <c r="AG29" s="59"/>
      <c r="AH29" s="59"/>
      <c r="AI29" s="59"/>
      <c r="AJ29" s="59"/>
      <c r="AK29" s="59"/>
      <c r="AL29" s="59"/>
      <c r="AM29" s="59"/>
      <c r="AN29" s="59"/>
      <c r="AO29" s="59"/>
      <c r="AP29" s="59"/>
      <c r="AQ29" s="59"/>
      <c r="AR29" s="59"/>
      <c r="AS29" s="59"/>
      <c r="AT29" s="59"/>
      <c r="AU29" s="59"/>
      <c r="AV29" s="59"/>
      <c r="AW29" s="59"/>
      <c r="AX29" s="59"/>
      <c r="AY29" s="59"/>
      <c r="AZ29" s="59"/>
    </row>
    <row r="30" spans="1:52" s="33" customFormat="1" x14ac:dyDescent="0.2">
      <c r="L30" s="59"/>
      <c r="M30" s="59"/>
      <c r="N30" s="59"/>
      <c r="O30" s="59"/>
      <c r="P30" s="59"/>
      <c r="Q30" s="59"/>
      <c r="R30" s="59"/>
      <c r="S30" s="59"/>
      <c r="T30" s="59"/>
      <c r="U30" s="59"/>
      <c r="V30" s="59"/>
      <c r="W30" s="59"/>
      <c r="X30" s="59"/>
      <c r="Y30" s="59"/>
      <c r="Z30" s="59"/>
      <c r="AA30" s="59"/>
      <c r="AB30" s="59"/>
      <c r="AC30" s="59"/>
      <c r="AD30" s="59"/>
      <c r="AE30" s="59"/>
      <c r="AF30" s="59"/>
      <c r="AG30" s="59"/>
      <c r="AH30" s="59"/>
      <c r="AI30" s="59"/>
      <c r="AJ30" s="59"/>
      <c r="AK30" s="59"/>
      <c r="AL30" s="59"/>
      <c r="AM30" s="59"/>
      <c r="AN30" s="59"/>
      <c r="AO30" s="59"/>
      <c r="AP30" s="59"/>
      <c r="AQ30" s="59"/>
      <c r="AR30" s="59"/>
      <c r="AS30" s="59"/>
      <c r="AT30" s="59"/>
      <c r="AU30" s="59"/>
      <c r="AV30" s="59"/>
      <c r="AW30" s="59"/>
      <c r="AX30" s="59"/>
      <c r="AY30" s="59"/>
      <c r="AZ30" s="59"/>
    </row>
    <row r="31" spans="1:52" s="33" customFormat="1" x14ac:dyDescent="0.2">
      <c r="L31" s="59"/>
      <c r="M31" s="59"/>
      <c r="N31" s="59"/>
      <c r="O31" s="59"/>
      <c r="P31" s="59"/>
      <c r="Q31" s="59"/>
      <c r="R31" s="59"/>
      <c r="S31" s="59"/>
      <c r="T31" s="59"/>
      <c r="U31" s="59"/>
      <c r="V31" s="59"/>
      <c r="W31" s="59"/>
      <c r="X31" s="59"/>
      <c r="Y31" s="59"/>
      <c r="Z31" s="59"/>
      <c r="AA31" s="59"/>
      <c r="AB31" s="59"/>
      <c r="AC31" s="59"/>
      <c r="AD31" s="59"/>
      <c r="AE31" s="59"/>
      <c r="AF31" s="59"/>
      <c r="AG31" s="59"/>
      <c r="AH31" s="59"/>
      <c r="AI31" s="59"/>
      <c r="AJ31" s="59"/>
      <c r="AK31" s="59"/>
      <c r="AL31" s="59"/>
      <c r="AM31" s="59"/>
      <c r="AN31" s="59"/>
      <c r="AO31" s="59"/>
      <c r="AP31" s="59"/>
      <c r="AQ31" s="59"/>
      <c r="AR31" s="59"/>
      <c r="AS31" s="59"/>
      <c r="AT31" s="59"/>
      <c r="AU31" s="59"/>
      <c r="AV31" s="59"/>
      <c r="AW31" s="59"/>
      <c r="AX31" s="59"/>
      <c r="AY31" s="59"/>
      <c r="AZ31" s="59"/>
    </row>
  </sheetData>
  <mergeCells count="1">
    <mergeCell ref="B2:K2"/>
  </mergeCells>
  <phoneticPr fontId="7" type="noConversion"/>
  <pageMargins left="0.75" right="0.75" top="1" bottom="1" header="0.5" footer="0.5"/>
  <pageSetup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Versioning</vt:lpstr>
      <vt:lpstr>Summary</vt:lpstr>
      <vt:lpstr>Present YE1 </vt:lpstr>
      <vt:lpstr>Upgr YE1 LS2</vt:lpstr>
      <vt:lpstr>Upgr YE1 LS3</vt:lpstr>
      <vt:lpstr>Present YE2 </vt:lpstr>
      <vt:lpstr>Upgr YE2  LS2 </vt:lpstr>
      <vt:lpstr>Upgr YE2  LS3</vt:lpstr>
      <vt:lpstr>Present YE3</vt:lpstr>
      <vt:lpstr>Upgrade YE3 LS2</vt:lpstr>
      <vt:lpstr>Upgrade YE3 LS3</vt:lpstr>
      <vt:lpstr>Sheet1</vt:lpstr>
    </vt:vector>
  </TitlesOfParts>
  <Company>UW - Physical Sciences Laboratory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ffeyzi</dc:creator>
  <cp:lastModifiedBy>Paola Tropea</cp:lastModifiedBy>
  <cp:lastPrinted>2012-05-24T07:06:53Z</cp:lastPrinted>
  <dcterms:created xsi:type="dcterms:W3CDTF">2000-09-12T19:14:17Z</dcterms:created>
  <dcterms:modified xsi:type="dcterms:W3CDTF">2018-12-14T15:29:02Z</dcterms:modified>
</cp:coreProperties>
</file>