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Cooling\PTropea\22Oct2018\"/>
    </mc:Choice>
  </mc:AlternateContent>
  <bookViews>
    <workbookView xWindow="5445" yWindow="2355" windowWidth="24165" windowHeight="23940" tabRatio="762" firstSheet="1" activeTab="4"/>
  </bookViews>
  <sheets>
    <sheet name="Summary" sheetId="5" r:id="rId1"/>
    <sheet name="Upgrade YE1" sheetId="12" r:id="rId2"/>
    <sheet name="Upgrade YE2  " sheetId="15" r:id="rId3"/>
    <sheet name="Upgrade YE3" sheetId="16" r:id="rId4"/>
    <sheet name="YE3RPCIC" sheetId="18" r:id="rId5"/>
  </sheets>
  <calcPr calcId="162913" concurrentCalc="0"/>
</workbook>
</file>

<file path=xl/calcChain.xml><?xml version="1.0" encoding="utf-8"?>
<calcChain xmlns="http://schemas.openxmlformats.org/spreadsheetml/2006/main">
  <c r="C10" i="16" l="1"/>
  <c r="E10" i="18"/>
  <c r="E12" i="18"/>
  <c r="E13" i="18"/>
  <c r="F19" i="18"/>
  <c r="E19" i="18"/>
  <c r="D19" i="18"/>
  <c r="F18" i="18"/>
  <c r="E18" i="18"/>
  <c r="D18" i="18"/>
  <c r="F15" i="18"/>
  <c r="E15" i="18"/>
  <c r="D15" i="18"/>
  <c r="F10" i="18"/>
  <c r="F12" i="18"/>
  <c r="F13" i="18"/>
  <c r="D10" i="18"/>
  <c r="D12" i="18"/>
  <c r="D13" i="18"/>
  <c r="E16" i="5"/>
  <c r="C17" i="5"/>
  <c r="D10" i="5"/>
  <c r="C10" i="5"/>
  <c r="C3" i="5"/>
  <c r="C6" i="5"/>
  <c r="C9" i="5"/>
  <c r="D16" i="5"/>
  <c r="D9" i="5"/>
  <c r="E9" i="5"/>
  <c r="D6" i="5"/>
  <c r="E6" i="5"/>
  <c r="D3" i="5"/>
  <c r="E3" i="5"/>
  <c r="F26" i="15"/>
  <c r="E25" i="16"/>
  <c r="D25" i="16"/>
  <c r="C18" i="16"/>
  <c r="C25" i="16"/>
  <c r="C13" i="15"/>
  <c r="C13" i="16"/>
  <c r="C18" i="15"/>
  <c r="C26" i="15"/>
  <c r="D14" i="12"/>
  <c r="D19" i="12"/>
  <c r="E14" i="12"/>
  <c r="E19" i="12"/>
  <c r="D26" i="12"/>
  <c r="C14" i="12"/>
  <c r="C19" i="12"/>
  <c r="C26" i="12"/>
  <c r="E18" i="12"/>
  <c r="E7" i="12"/>
  <c r="C18" i="12"/>
  <c r="D18" i="12"/>
  <c r="D8" i="12"/>
  <c r="E8" i="12"/>
  <c r="D10" i="12"/>
  <c r="E10" i="12"/>
  <c r="C15" i="12"/>
  <c r="D15" i="12"/>
  <c r="E15" i="12"/>
  <c r="C8" i="12"/>
  <c r="C10" i="12"/>
  <c r="E11" i="12"/>
  <c r="D11" i="12"/>
  <c r="C11" i="12"/>
  <c r="C17" i="16"/>
  <c r="C14" i="16"/>
  <c r="C6" i="16"/>
  <c r="C7" i="16"/>
  <c r="C9" i="16"/>
  <c r="C17" i="15"/>
  <c r="C14" i="15"/>
  <c r="C6" i="15"/>
  <c r="C7" i="15"/>
  <c r="C9" i="15"/>
  <c r="C10" i="15"/>
</calcChain>
</file>

<file path=xl/comments1.xml><?xml version="1.0" encoding="utf-8"?>
<comments xmlns="http://schemas.openxmlformats.org/spreadsheetml/2006/main">
  <authors>
    <author>paola tropea</author>
  </authors>
  <commentList>
    <comment ref="C13" authorId="0" shapeId="0">
      <text>
        <r>
          <rPr>
            <b/>
            <sz val="10"/>
            <color rgb="FF000000"/>
            <rFont val="Calibri"/>
          </rPr>
          <t>paola tropea:</t>
        </r>
        <r>
          <rPr>
            <sz val="10"/>
            <color rgb="FF000000"/>
            <rFont val="Calibri"/>
          </rPr>
          <t xml:space="preserve">
</t>
        </r>
        <r>
          <rPr>
            <sz val="10"/>
            <color rgb="FF000000"/>
            <rFont val="Calibri"/>
          </rPr>
          <t xml:space="preserve">2 superchambers/circuit (4 chambers in total in series)
</t>
        </r>
      </text>
    </comment>
    <comment ref="D13" authorId="0" shapeId="0">
      <text>
        <r>
          <rPr>
            <b/>
            <sz val="10"/>
            <color indexed="81"/>
            <rFont val="Calibri"/>
          </rPr>
          <t>paola tropea:</t>
        </r>
        <r>
          <rPr>
            <sz val="10"/>
            <color indexed="81"/>
            <rFont val="Calibri"/>
          </rPr>
          <t xml:space="preserve">
 1 superchamber/circuit </t>
        </r>
      </text>
    </comment>
    <comment ref="E13" authorId="0" shapeId="0">
      <text>
        <r>
          <rPr>
            <b/>
            <sz val="10"/>
            <color indexed="81"/>
            <rFont val="Calibri"/>
          </rPr>
          <t>paola tropea:</t>
        </r>
        <r>
          <rPr>
            <sz val="10"/>
            <color indexed="81"/>
            <rFont val="Calibri"/>
          </rPr>
          <t xml:space="preserve">
 6 chambers @ 100 W each in parallel</t>
        </r>
      </text>
    </comment>
  </commentList>
</comments>
</file>

<file path=xl/sharedStrings.xml><?xml version="1.0" encoding="utf-8"?>
<sst xmlns="http://schemas.openxmlformats.org/spreadsheetml/2006/main" count="208" uniqueCount="77">
  <si>
    <t>bar</t>
  </si>
  <si>
    <t>Tube/pipe OD</t>
  </si>
  <si>
    <t>Tube/pipe wall</t>
  </si>
  <si>
    <t>Units</t>
  </si>
  <si>
    <t>Flow rate</t>
  </si>
  <si>
    <t>C</t>
  </si>
  <si>
    <t>mm</t>
  </si>
  <si>
    <t>liter/min</t>
  </si>
  <si>
    <t>W</t>
  </si>
  <si>
    <t>Number of circuits</t>
  </si>
  <si>
    <t>ea</t>
  </si>
  <si>
    <r>
      <t>mm</t>
    </r>
    <r>
      <rPr>
        <vertAlign val="superscript"/>
        <sz val="10"/>
        <rFont val="Arial"/>
        <family val="2"/>
      </rPr>
      <t>2</t>
    </r>
  </si>
  <si>
    <t>m/sec</t>
  </si>
  <si>
    <t>Pressure drop (measured)</t>
  </si>
  <si>
    <t>Heat removal/circuit</t>
  </si>
  <si>
    <t>Total flow</t>
  </si>
  <si>
    <t>Temperature rise</t>
  </si>
  <si>
    <t>Total temperature rise</t>
  </si>
  <si>
    <t>Heat removed</t>
  </si>
  <si>
    <t>Total Heat removed</t>
  </si>
  <si>
    <t>Heat removal capacity</t>
  </si>
  <si>
    <t>Tube/pipe ID</t>
  </si>
  <si>
    <t>Tube/pipe Area</t>
  </si>
  <si>
    <t>1.6?</t>
  </si>
  <si>
    <t>CSC cooling circuit ME2/1, ME3/1</t>
  </si>
  <si>
    <t>Flow velocity</t>
  </si>
  <si>
    <t>CSC cooling circuit ME4/1</t>
  </si>
  <si>
    <t>Reynolds</t>
  </si>
  <si>
    <t>unitless</t>
  </si>
  <si>
    <t>Total flow-disk manifold</t>
  </si>
  <si>
    <t>lt/min</t>
  </si>
  <si>
    <t xml:space="preserve">Total flow </t>
  </si>
  <si>
    <t xml:space="preserve">Total Heat </t>
  </si>
  <si>
    <t>m3/h</t>
  </si>
  <si>
    <t>ENDCAP COOLING CIRCUIT</t>
  </si>
  <si>
    <t>ENDCAP circuit for 6 disks</t>
  </si>
  <si>
    <t>Heat removal/chamber</t>
  </si>
  <si>
    <t># chambers/circuit</t>
  </si>
  <si>
    <t>ENDCAP CIRCUIT - same for YE+1 &amp; YE-1</t>
  </si>
  <si>
    <t>ENDCAP CIRCUIT - same for YE+2 &amp; YE-2</t>
  </si>
  <si>
    <t>ENDCAP CIRCUIT - same for YE+3 &amp; YE-3</t>
  </si>
  <si>
    <t>LS2</t>
  </si>
  <si>
    <t>GEM cooling circuit GE1/1</t>
  </si>
  <si>
    <t>GEM cooling circuit GE2/1</t>
  </si>
  <si>
    <t>GEM cooling circuit ME0</t>
  </si>
  <si>
    <t>#</t>
  </si>
  <si>
    <t>LS3</t>
  </si>
  <si>
    <t>YE3 UPGRADE cooling parameters</t>
  </si>
  <si>
    <t>YE2 UPGRADE cooling parameters</t>
  </si>
  <si>
    <t>YE1 UPGRADE cooling parameters</t>
  </si>
  <si>
    <t>Replacement of electronics LS2</t>
  </si>
  <si>
    <t>New chambers LS3</t>
  </si>
  <si>
    <t>RPC cooling circuit RE3/1</t>
  </si>
  <si>
    <t>N/A</t>
  </si>
  <si>
    <t>RPC cooling circuit RE4/1</t>
  </si>
  <si>
    <t xml:space="preserve">YE+1 and YE-1 </t>
  </si>
  <si>
    <t xml:space="preserve">YE+2 and YE-2 </t>
  </si>
  <si>
    <t xml:space="preserve">YE+3 &amp; YE-3 </t>
  </si>
  <si>
    <t xml:space="preserve">Flow-Heat Summary for full circuit </t>
  </si>
  <si>
    <t>Heat removal/chamber-superchamber</t>
  </si>
  <si>
    <t>Total</t>
  </si>
  <si>
    <t>kW</t>
  </si>
  <si>
    <t>Total L2+LS3</t>
  </si>
  <si>
    <t>Measures '17-18</t>
  </si>
  <si>
    <t>Additional Heat removal/circuit</t>
  </si>
  <si>
    <t>ME2/1, ME3/1 heat per circuit rises to 780 W instead of 390 W (doubles due to new electronic)</t>
  </si>
  <si>
    <t>Additional heat per circuit is 390 W</t>
  </si>
  <si>
    <t>ME4/1heat per circuit rises to 780 W instead of 370 W</t>
  </si>
  <si>
    <t>Total Heat removed for new or modified components</t>
  </si>
  <si>
    <t>RE3/1 chambers</t>
  </si>
  <si>
    <t>RE4/1 chambers</t>
  </si>
  <si>
    <t>RE3/1, 3/2 &amp; 3/3</t>
  </si>
  <si>
    <t>Nota</t>
  </si>
  <si>
    <t>The RE4/1 cooling is taken off the mini-manifolds using "T"s with 9 circuits giving a similar temp increase as the RE3 station.</t>
  </si>
  <si>
    <t>The YE3 manifold flow rate increase is half of the RE3 station namely 18 litres/min on a total of 161 [litres/min] .</t>
  </si>
  <si>
    <t>The RE3/1 ccoling is taken off the RE3/2 and RE3/3 system so there is no more flow and a minimal 0.1degC increase</t>
  </si>
  <si>
    <t>Calculation of RE3/1 and RE4/1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</si>
</sst>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</font>
    <font>
      <sz val="10"/>
      <color indexed="81"/>
      <name val="Calibri"/>
    </font>
    <font>
      <b/>
      <sz val="10"/>
      <color indexed="81"/>
      <name val="Calibri"/>
    </font>
    <font>
      <b/>
      <sz val="10"/>
      <color rgb="FF000000"/>
      <name val="Calibri"/>
    </font>
    <font>
      <sz val="10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right" wrapText="1"/>
    </xf>
    <xf numFmtId="164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3" fillId="0" borderId="0" xfId="0" applyFont="1" applyFill="1"/>
    <xf numFmtId="164" fontId="0" fillId="0" borderId="2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4" borderId="1" xfId="0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0" xfId="0" applyFill="1"/>
    <xf numFmtId="0" fontId="1" fillId="0" borderId="0" xfId="0" applyFont="1" applyFill="1" applyBorder="1"/>
    <xf numFmtId="0" fontId="0" fillId="0" borderId="5" xfId="0" applyBorder="1" applyAlignment="1"/>
    <xf numFmtId="1" fontId="0" fillId="4" borderId="1" xfId="0" applyNumberFormat="1" applyFill="1" applyBorder="1" applyAlignment="1">
      <alignment horizontal="right"/>
    </xf>
    <xf numFmtId="1" fontId="0" fillId="4" borderId="0" xfId="0" applyNumberFormat="1" applyFill="1" applyBorder="1" applyAlignment="1">
      <alignment horizontal="right"/>
    </xf>
    <xf numFmtId="0" fontId="0" fillId="4" borderId="0" xfId="0" applyFill="1"/>
    <xf numFmtId="0" fontId="0" fillId="4" borderId="0" xfId="0" applyFill="1" applyBorder="1" applyAlignment="1">
      <alignment horizontal="right"/>
    </xf>
    <xf numFmtId="164" fontId="0" fillId="4" borderId="0" xfId="0" applyNumberFormat="1" applyFill="1" applyBorder="1" applyAlignment="1">
      <alignment horizontal="right"/>
    </xf>
    <xf numFmtId="0" fontId="0" fillId="0" borderId="0" xfId="0" applyFill="1" applyBorder="1"/>
    <xf numFmtId="0" fontId="0" fillId="0" borderId="0" xfId="0" applyFont="1" applyFill="1" applyBorder="1"/>
    <xf numFmtId="0" fontId="1" fillId="0" borderId="0" xfId="0" applyFo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164" fontId="0" fillId="0" borderId="0" xfId="0" applyNumberFormat="1" applyFill="1" applyBorder="1"/>
    <xf numFmtId="0" fontId="0" fillId="5" borderId="1" xfId="0" applyFill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4" fillId="6" borderId="1" xfId="0" applyFont="1" applyFill="1" applyBorder="1" applyAlignment="1">
      <alignment horizontal="right" wrapText="1"/>
    </xf>
    <xf numFmtId="164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0" fillId="4" borderId="3" xfId="0" applyNumberFormat="1" applyFill="1" applyBorder="1" applyAlignment="1">
      <alignment horizontal="right"/>
    </xf>
    <xf numFmtId="164" fontId="0" fillId="4" borderId="6" xfId="0" applyNumberFormat="1" applyFill="1" applyBorder="1" applyAlignment="1">
      <alignment horizontal="right"/>
    </xf>
    <xf numFmtId="1" fontId="0" fillId="4" borderId="3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0" fontId="0" fillId="7" borderId="0" xfId="0" applyFill="1"/>
    <xf numFmtId="0" fontId="1" fillId="7" borderId="1" xfId="0" applyFont="1" applyFill="1" applyBorder="1" applyAlignment="1">
      <alignment horizontal="right"/>
    </xf>
    <xf numFmtId="164" fontId="1" fillId="7" borderId="1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8" borderId="1" xfId="0" applyFont="1" applyFill="1" applyBorder="1" applyAlignment="1">
      <alignment horizontal="right"/>
    </xf>
    <xf numFmtId="164" fontId="1" fillId="8" borderId="3" xfId="0" applyNumberFormat="1" applyFont="1" applyFill="1" applyBorder="1" applyAlignment="1">
      <alignment horizontal="right"/>
    </xf>
    <xf numFmtId="0" fontId="1" fillId="8" borderId="3" xfId="0" applyFont="1" applyFill="1" applyBorder="1" applyAlignment="1">
      <alignment horizontal="right"/>
    </xf>
    <xf numFmtId="164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showGridLines="0" zoomScale="120" zoomScaleNormal="120" workbookViewId="0">
      <selection activeCell="B22" sqref="B22"/>
    </sheetView>
  </sheetViews>
  <sheetFormatPr defaultColWidth="8.85546875" defaultRowHeight="12.75" x14ac:dyDescent="0.2"/>
  <cols>
    <col min="1" max="1" width="25.28515625" customWidth="1"/>
    <col min="3" max="5" width="13.28515625" customWidth="1"/>
  </cols>
  <sheetData>
    <row r="2" spans="1:5" s="32" customFormat="1" x14ac:dyDescent="0.2">
      <c r="A2" s="24" t="s">
        <v>68</v>
      </c>
      <c r="B2" s="24"/>
      <c r="C2" s="24" t="s">
        <v>41</v>
      </c>
      <c r="D2" s="24" t="s">
        <v>46</v>
      </c>
      <c r="E2" s="24" t="s">
        <v>62</v>
      </c>
    </row>
    <row r="3" spans="1:5" s="32" customFormat="1" x14ac:dyDescent="0.2">
      <c r="A3" s="15" t="s">
        <v>55</v>
      </c>
      <c r="B3" s="15" t="s">
        <v>61</v>
      </c>
      <c r="C3" s="15">
        <f>2*'Upgrade YE1'!C26</f>
        <v>14.4</v>
      </c>
      <c r="D3" s="15">
        <f>2*'Upgrade YE1'!D26</f>
        <v>36</v>
      </c>
      <c r="E3" s="15">
        <f>SUM(C3:D3)</f>
        <v>50.4</v>
      </c>
    </row>
    <row r="4" spans="1:5" s="32" customFormat="1" x14ac:dyDescent="0.2">
      <c r="A4"/>
      <c r="B4"/>
      <c r="C4"/>
      <c r="D4"/>
      <c r="E4"/>
    </row>
    <row r="5" spans="1:5" s="32" customFormat="1" x14ac:dyDescent="0.2">
      <c r="A5"/>
      <c r="B5"/>
      <c r="C5"/>
      <c r="D5"/>
      <c r="E5"/>
    </row>
    <row r="6" spans="1:5" s="32" customFormat="1" x14ac:dyDescent="0.2">
      <c r="A6" s="15" t="s">
        <v>56</v>
      </c>
      <c r="B6" s="15" t="s">
        <v>61</v>
      </c>
      <c r="C6" s="15">
        <f>2*'Upgrade YE2  '!C26</f>
        <v>9.36</v>
      </c>
      <c r="D6" s="15">
        <f>2*'Upgrade YE2  '!D26</f>
        <v>0</v>
      </c>
      <c r="E6" s="15">
        <f>SUM(C6:D6)</f>
        <v>9.36</v>
      </c>
    </row>
    <row r="7" spans="1:5" s="32" customFormat="1" x14ac:dyDescent="0.2">
      <c r="A7"/>
      <c r="B7"/>
      <c r="C7"/>
      <c r="D7"/>
      <c r="E7"/>
    </row>
    <row r="8" spans="1:5" s="32" customFormat="1" x14ac:dyDescent="0.2">
      <c r="A8" s="9"/>
      <c r="B8" s="9"/>
      <c r="C8" s="9"/>
      <c r="D8" s="9"/>
      <c r="E8" s="9"/>
    </row>
    <row r="9" spans="1:5" s="32" customFormat="1" x14ac:dyDescent="0.2">
      <c r="A9" s="15" t="s">
        <v>57</v>
      </c>
      <c r="B9" s="15" t="s">
        <v>61</v>
      </c>
      <c r="C9" s="15">
        <f>'Upgrade YE3'!C25*2</f>
        <v>4.92</v>
      </c>
      <c r="D9" s="15">
        <f>'Upgrade YE3'!D25*2</f>
        <v>1.6559999999999999</v>
      </c>
      <c r="E9" s="15">
        <f>SUM(C9:D9)</f>
        <v>6.5759999999999996</v>
      </c>
    </row>
    <row r="10" spans="1:5" s="32" customFormat="1" x14ac:dyDescent="0.2">
      <c r="A10"/>
      <c r="B10"/>
      <c r="C10" s="62">
        <f>SUM(C3:C9)</f>
        <v>28.68</v>
      </c>
      <c r="D10" s="62">
        <f>SUM(D3:D9)</f>
        <v>37.655999999999999</v>
      </c>
      <c r="E10"/>
    </row>
    <row r="13" spans="1:5" x14ac:dyDescent="0.2">
      <c r="A13" t="s">
        <v>58</v>
      </c>
      <c r="C13" s="24" t="s">
        <v>35</v>
      </c>
    </row>
    <row r="14" spans="1:5" x14ac:dyDescent="0.2">
      <c r="A14" s="53"/>
      <c r="B14" s="53" t="s">
        <v>3</v>
      </c>
      <c r="C14" s="53" t="s">
        <v>63</v>
      </c>
      <c r="D14" s="53" t="s">
        <v>41</v>
      </c>
      <c r="E14" s="53" t="s">
        <v>46</v>
      </c>
    </row>
    <row r="15" spans="1:5" x14ac:dyDescent="0.2">
      <c r="A15" s="54" t="s">
        <v>31</v>
      </c>
      <c r="B15" s="54" t="s">
        <v>33</v>
      </c>
      <c r="C15" s="54">
        <v>76</v>
      </c>
      <c r="D15" s="54">
        <v>76</v>
      </c>
      <c r="E15" s="54">
        <v>76</v>
      </c>
    </row>
    <row r="16" spans="1:5" x14ac:dyDescent="0.2">
      <c r="A16" s="54" t="s">
        <v>32</v>
      </c>
      <c r="B16" s="54" t="s">
        <v>61</v>
      </c>
      <c r="C16" s="54">
        <v>137.1</v>
      </c>
      <c r="D16" s="54">
        <f>SUM(C3:C9)+C16</f>
        <v>165.78</v>
      </c>
      <c r="E16" s="55">
        <f>C16+D10+C10</f>
        <v>203.43600000000001</v>
      </c>
    </row>
    <row r="17" spans="1:5" s="24" customFormat="1" x14ac:dyDescent="0.2">
      <c r="A17" s="54" t="s">
        <v>17</v>
      </c>
      <c r="B17" s="54" t="s">
        <v>5</v>
      </c>
      <c r="C17" s="54">
        <f>18.1-16.9</f>
        <v>1.2000000000000028</v>
      </c>
      <c r="D17" s="54">
        <v>1.9</v>
      </c>
      <c r="E17" s="54">
        <v>2.2999999999999998</v>
      </c>
    </row>
  </sheetData>
  <phoneticPr fontId="5" type="noConversion"/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28"/>
  <sheetViews>
    <sheetView workbookViewId="0">
      <selection activeCell="G26" sqref="G26"/>
    </sheetView>
  </sheetViews>
  <sheetFormatPr defaultColWidth="8.85546875" defaultRowHeight="12.75" x14ac:dyDescent="0.2"/>
  <cols>
    <col min="1" max="1" width="28.28515625" customWidth="1"/>
    <col min="2" max="2" width="7.7109375" customWidth="1"/>
    <col min="3" max="3" width="8.7109375" customWidth="1"/>
    <col min="4" max="6" width="7.7109375" customWidth="1"/>
    <col min="7" max="9" width="8.42578125" customWidth="1"/>
    <col min="10" max="10" width="2.7109375" customWidth="1"/>
    <col min="11" max="12" width="7.7109375" customWidth="1"/>
    <col min="13" max="13" width="2.7109375" customWidth="1"/>
    <col min="14" max="14" width="8" customWidth="1"/>
    <col min="15" max="15" width="7.7109375" customWidth="1"/>
  </cols>
  <sheetData>
    <row r="1" spans="1:106" ht="18" x14ac:dyDescent="0.25">
      <c r="A1" s="17" t="s">
        <v>49</v>
      </c>
    </row>
    <row r="2" spans="1:106" x14ac:dyDescent="0.2">
      <c r="B2" s="63" t="s">
        <v>34</v>
      </c>
      <c r="C2" s="63"/>
      <c r="D2" s="63"/>
      <c r="E2" s="63"/>
      <c r="F2" s="63"/>
      <c r="K2" s="64"/>
      <c r="L2" s="64"/>
      <c r="M2" s="64"/>
      <c r="N2" s="64"/>
      <c r="O2" s="64"/>
    </row>
    <row r="3" spans="1:106" x14ac:dyDescent="0.2">
      <c r="B3" s="56"/>
      <c r="C3" t="s">
        <v>41</v>
      </c>
      <c r="D3" t="s">
        <v>46</v>
      </c>
      <c r="E3" t="s">
        <v>46</v>
      </c>
      <c r="F3" s="58"/>
      <c r="K3" s="57"/>
      <c r="L3" s="57"/>
      <c r="M3" s="57"/>
      <c r="N3" s="57"/>
      <c r="O3" s="57"/>
    </row>
    <row r="4" spans="1:106" ht="51" x14ac:dyDescent="0.2">
      <c r="A4" s="10"/>
      <c r="B4" s="13" t="s">
        <v>3</v>
      </c>
      <c r="C4" s="38" t="s">
        <v>42</v>
      </c>
      <c r="D4" s="40" t="s">
        <v>43</v>
      </c>
      <c r="E4" s="40" t="s">
        <v>44</v>
      </c>
      <c r="F4" s="6"/>
    </row>
    <row r="5" spans="1:106" x14ac:dyDescent="0.2">
      <c r="A5" s="12" t="s">
        <v>1</v>
      </c>
      <c r="B5" s="3" t="s">
        <v>6</v>
      </c>
      <c r="C5" s="44">
        <v>8</v>
      </c>
      <c r="D5" s="45">
        <v>8</v>
      </c>
      <c r="E5" s="45">
        <v>10</v>
      </c>
      <c r="F5" s="7"/>
    </row>
    <row r="6" spans="1:106" x14ac:dyDescent="0.2">
      <c r="A6" s="12" t="s">
        <v>2</v>
      </c>
      <c r="B6" s="3" t="s">
        <v>6</v>
      </c>
      <c r="C6" s="44">
        <v>1</v>
      </c>
      <c r="D6" s="45">
        <v>1</v>
      </c>
      <c r="E6" s="45">
        <v>1</v>
      </c>
      <c r="F6" s="7"/>
    </row>
    <row r="7" spans="1:106" x14ac:dyDescent="0.2">
      <c r="A7" s="12" t="s">
        <v>21</v>
      </c>
      <c r="B7" s="3" t="s">
        <v>6</v>
      </c>
      <c r="C7" s="44">
        <v>6</v>
      </c>
      <c r="D7" s="45">
        <v>6</v>
      </c>
      <c r="E7" s="45">
        <f>E5-2*E6</f>
        <v>8</v>
      </c>
      <c r="F7" s="41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</row>
    <row r="8" spans="1:106" ht="14.25" x14ac:dyDescent="0.2">
      <c r="A8" s="12" t="s">
        <v>22</v>
      </c>
      <c r="B8" s="3" t="s">
        <v>11</v>
      </c>
      <c r="C8" s="5">
        <f t="shared" ref="C8:E8" si="0">0.25*3.14*(C7^2)</f>
        <v>28.26</v>
      </c>
      <c r="D8" s="5">
        <f t="shared" si="0"/>
        <v>28.26</v>
      </c>
      <c r="E8" s="5">
        <f t="shared" si="0"/>
        <v>50.24</v>
      </c>
      <c r="F8" s="42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</row>
    <row r="9" spans="1:106" s="29" customFormat="1" x14ac:dyDescent="0.2">
      <c r="A9" s="12" t="s">
        <v>4</v>
      </c>
      <c r="B9" s="3" t="s">
        <v>7</v>
      </c>
      <c r="C9" s="48">
        <v>2</v>
      </c>
      <c r="D9" s="48">
        <v>2</v>
      </c>
      <c r="E9" s="48">
        <v>4</v>
      </c>
      <c r="F9" s="4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</row>
    <row r="10" spans="1:106" x14ac:dyDescent="0.2">
      <c r="A10" s="12" t="s">
        <v>25</v>
      </c>
      <c r="B10" s="3" t="s">
        <v>12</v>
      </c>
      <c r="C10" s="4">
        <f t="shared" ref="C10:E10" si="1">(C9*1000/60)/C8</f>
        <v>1.1795234725171031</v>
      </c>
      <c r="D10" s="4">
        <f t="shared" si="1"/>
        <v>1.1795234725171031</v>
      </c>
      <c r="E10" s="4">
        <f t="shared" si="1"/>
        <v>1.3269639065817411</v>
      </c>
      <c r="F10" s="41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</row>
    <row r="11" spans="1:106" x14ac:dyDescent="0.2">
      <c r="A11" s="12" t="s">
        <v>27</v>
      </c>
      <c r="B11" s="3" t="s">
        <v>28</v>
      </c>
      <c r="C11" s="5">
        <f t="shared" ref="C11:E11" si="2">(C10*(C7/1000))/(1.035*10^-6)</f>
        <v>6837.8172319832074</v>
      </c>
      <c r="D11" s="5">
        <f t="shared" si="2"/>
        <v>6837.8172319832074</v>
      </c>
      <c r="E11" s="5">
        <f t="shared" si="2"/>
        <v>10256.725847974812</v>
      </c>
      <c r="F11" s="41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</row>
    <row r="12" spans="1:106" s="29" customFormat="1" x14ac:dyDescent="0.2">
      <c r="A12" s="12" t="s">
        <v>59</v>
      </c>
      <c r="B12" s="3" t="s">
        <v>8</v>
      </c>
      <c r="C12" s="46">
        <v>200</v>
      </c>
      <c r="D12" s="47">
        <v>400</v>
      </c>
      <c r="E12" s="47">
        <v>600</v>
      </c>
      <c r="F12" s="41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</row>
    <row r="13" spans="1:106" s="29" customFormat="1" x14ac:dyDescent="0.2">
      <c r="A13" s="12" t="s">
        <v>37</v>
      </c>
      <c r="B13" s="3"/>
      <c r="C13" s="46">
        <v>2</v>
      </c>
      <c r="D13" s="47">
        <v>1</v>
      </c>
      <c r="E13" s="47">
        <v>1</v>
      </c>
      <c r="F13" s="41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</row>
    <row r="14" spans="1:106" x14ac:dyDescent="0.2">
      <c r="A14" s="12" t="s">
        <v>14</v>
      </c>
      <c r="B14" s="3" t="s">
        <v>8</v>
      </c>
      <c r="C14" s="46">
        <f>C13*C12</f>
        <v>400</v>
      </c>
      <c r="D14" s="46">
        <f>D13*D12</f>
        <v>400</v>
      </c>
      <c r="E14" s="46">
        <f>E13*E12</f>
        <v>600</v>
      </c>
      <c r="F14" s="41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</row>
    <row r="15" spans="1:106" x14ac:dyDescent="0.2">
      <c r="A15" s="12" t="s">
        <v>16</v>
      </c>
      <c r="B15" s="3" t="s">
        <v>5</v>
      </c>
      <c r="C15" s="4">
        <f>C14/(C9/60)/4180</f>
        <v>2.8708133971291865</v>
      </c>
      <c r="D15" s="4">
        <f t="shared" ref="D15:E15" si="3">D14/(D9/60)/4180</f>
        <v>2.8708133971291865</v>
      </c>
      <c r="E15" s="4">
        <f t="shared" si="3"/>
        <v>2.1531100478468899</v>
      </c>
      <c r="F15" s="41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</row>
    <row r="16" spans="1:106" x14ac:dyDescent="0.2">
      <c r="A16" s="12"/>
      <c r="B16" s="3"/>
      <c r="C16" s="48"/>
      <c r="D16" s="49"/>
      <c r="E16" s="49"/>
      <c r="F16" s="4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</row>
    <row r="17" spans="1:106" s="29" customFormat="1" x14ac:dyDescent="0.2">
      <c r="A17" s="12" t="s">
        <v>9</v>
      </c>
      <c r="B17" s="3" t="s">
        <v>10</v>
      </c>
      <c r="C17" s="48">
        <v>18</v>
      </c>
      <c r="D17" s="49">
        <v>18</v>
      </c>
      <c r="E17" s="21">
        <v>18</v>
      </c>
      <c r="F17" s="41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</row>
    <row r="18" spans="1:106" x14ac:dyDescent="0.2">
      <c r="A18" s="12" t="s">
        <v>15</v>
      </c>
      <c r="B18" s="3" t="s">
        <v>30</v>
      </c>
      <c r="C18" s="3">
        <f t="shared" ref="C18:D18" si="4">C17*C9</f>
        <v>36</v>
      </c>
      <c r="D18" s="3">
        <f t="shared" si="4"/>
        <v>36</v>
      </c>
      <c r="E18" s="3">
        <f>E17*E9</f>
        <v>72</v>
      </c>
      <c r="F18" s="43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</row>
    <row r="19" spans="1:106" x14ac:dyDescent="0.2">
      <c r="A19" s="12" t="s">
        <v>18</v>
      </c>
      <c r="B19" s="3" t="s">
        <v>8</v>
      </c>
      <c r="C19" s="27">
        <f t="shared" ref="C19:E19" si="5">C17*C14</f>
        <v>7200</v>
      </c>
      <c r="D19" s="27">
        <f t="shared" si="5"/>
        <v>7200</v>
      </c>
      <c r="E19" s="27">
        <f t="shared" si="5"/>
        <v>10800</v>
      </c>
      <c r="F19" s="42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</row>
    <row r="20" spans="1:106" x14ac:dyDescent="0.2">
      <c r="A20" s="12" t="s">
        <v>20</v>
      </c>
      <c r="B20" s="3" t="s">
        <v>8</v>
      </c>
      <c r="C20" s="20"/>
      <c r="D20" s="39"/>
      <c r="E20" s="39"/>
      <c r="F20" s="32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</row>
    <row r="21" spans="1:106" x14ac:dyDescent="0.2">
      <c r="A21" s="12"/>
      <c r="B21" s="3"/>
      <c r="C21" s="20"/>
      <c r="D21" s="39"/>
      <c r="E21" s="39"/>
      <c r="F21" s="32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</row>
    <row r="22" spans="1:106" x14ac:dyDescent="0.2">
      <c r="A22" s="12" t="s">
        <v>13</v>
      </c>
      <c r="B22" s="3" t="s">
        <v>0</v>
      </c>
      <c r="C22" s="20"/>
      <c r="D22" s="39" t="s">
        <v>23</v>
      </c>
      <c r="E22" s="39"/>
      <c r="F22" s="4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</row>
    <row r="23" spans="1:106" x14ac:dyDescent="0.2">
      <c r="A23" s="11"/>
      <c r="B23" s="9"/>
      <c r="C23" s="2"/>
      <c r="D23" s="2"/>
      <c r="E23" s="2"/>
      <c r="F23" s="11"/>
    </row>
    <row r="24" spans="1:106" x14ac:dyDescent="0.2">
      <c r="A24" s="25" t="s">
        <v>38</v>
      </c>
      <c r="B24" s="24"/>
      <c r="C24" t="s">
        <v>41</v>
      </c>
      <c r="D24" t="s">
        <v>46</v>
      </c>
      <c r="E24" t="s">
        <v>60</v>
      </c>
    </row>
    <row r="25" spans="1:106" x14ac:dyDescent="0.2">
      <c r="A25" s="14" t="s">
        <v>29</v>
      </c>
      <c r="B25" s="15" t="s">
        <v>7</v>
      </c>
      <c r="C25" s="59"/>
      <c r="D25" s="59"/>
      <c r="E25" s="59"/>
    </row>
    <row r="26" spans="1:106" x14ac:dyDescent="0.2">
      <c r="A26" s="14" t="s">
        <v>19</v>
      </c>
      <c r="B26" s="15" t="s">
        <v>61</v>
      </c>
      <c r="C26" s="60">
        <f>SUM(C19)/1000</f>
        <v>7.2</v>
      </c>
      <c r="D26" s="60">
        <f>SUM(D19:E19)/1000</f>
        <v>18</v>
      </c>
      <c r="E26" s="60">
        <v>3.3</v>
      </c>
    </row>
    <row r="27" spans="1:106" x14ac:dyDescent="0.2">
      <c r="A27" s="14" t="s">
        <v>17</v>
      </c>
      <c r="B27" s="15" t="s">
        <v>5</v>
      </c>
      <c r="C27" s="61"/>
      <c r="D27" s="61"/>
      <c r="E27" s="61"/>
    </row>
    <row r="28" spans="1:106" ht="18" x14ac:dyDescent="0.25">
      <c r="A28" s="17"/>
      <c r="L28" s="2"/>
      <c r="N28" s="2"/>
      <c r="O28" s="2"/>
    </row>
  </sheetData>
  <mergeCells count="2">
    <mergeCell ref="B2:F2"/>
    <mergeCell ref="K2:O2"/>
  </mergeCells>
  <pageMargins left="0.75" right="0.75" top="1" bottom="1" header="0.3" footer="0.3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showGridLines="0" zoomScale="130" zoomScaleNormal="130" workbookViewId="0">
      <selection activeCell="F27" sqref="F27"/>
    </sheetView>
  </sheetViews>
  <sheetFormatPr defaultColWidth="8.85546875" defaultRowHeight="12.75" x14ac:dyDescent="0.2"/>
  <cols>
    <col min="1" max="1" width="27.7109375" customWidth="1"/>
    <col min="2" max="2" width="11.85546875" customWidth="1"/>
    <col min="3" max="3" width="11.140625" customWidth="1"/>
    <col min="4" max="4" width="0.140625" customWidth="1"/>
    <col min="5" max="28" width="8.85546875" style="33"/>
  </cols>
  <sheetData>
    <row r="1" spans="1:28" ht="18" x14ac:dyDescent="0.25">
      <c r="A1" s="17" t="s">
        <v>48</v>
      </c>
      <c r="C1" t="s">
        <v>41</v>
      </c>
    </row>
    <row r="2" spans="1:28" x14ac:dyDescent="0.2">
      <c r="B2" s="63" t="s">
        <v>34</v>
      </c>
      <c r="C2" s="63"/>
      <c r="D2" s="26"/>
      <c r="E2" s="35"/>
      <c r="F2" s="35"/>
      <c r="G2" s="35"/>
      <c r="H2" s="35"/>
      <c r="I2" s="35"/>
    </row>
    <row r="3" spans="1:28" s="1" customFormat="1" ht="63.75" x14ac:dyDescent="0.2">
      <c r="A3" s="10"/>
      <c r="B3" s="13" t="s">
        <v>3</v>
      </c>
      <c r="C3" s="13" t="s">
        <v>24</v>
      </c>
      <c r="D3" s="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x14ac:dyDescent="0.2">
      <c r="A4" s="12" t="s">
        <v>1</v>
      </c>
      <c r="B4" s="3" t="s">
        <v>6</v>
      </c>
      <c r="C4" s="18">
        <v>9.5250000000000004</v>
      </c>
      <c r="D4" s="7"/>
    </row>
    <row r="5" spans="1:28" x14ac:dyDescent="0.2">
      <c r="A5" s="12" t="s">
        <v>2</v>
      </c>
      <c r="B5" s="3" t="s">
        <v>6</v>
      </c>
      <c r="C5" s="18">
        <v>0.81279999999999997</v>
      </c>
      <c r="D5" s="7"/>
    </row>
    <row r="6" spans="1:28" x14ac:dyDescent="0.2">
      <c r="A6" s="12" t="s">
        <v>21</v>
      </c>
      <c r="B6" s="3" t="s">
        <v>6</v>
      </c>
      <c r="C6" s="18">
        <f t="shared" ref="C6" si="0">C4-(2*C5)</f>
        <v>7.8994</v>
      </c>
      <c r="D6" s="7"/>
    </row>
    <row r="7" spans="1:28" ht="14.25" x14ac:dyDescent="0.2">
      <c r="A7" s="12" t="s">
        <v>22</v>
      </c>
      <c r="B7" s="3" t="s">
        <v>11</v>
      </c>
      <c r="C7" s="5">
        <f t="shared" ref="C7" si="1">0.25*3.14*(C6^2)</f>
        <v>48.984408482600003</v>
      </c>
      <c r="D7" s="8"/>
    </row>
    <row r="8" spans="1:28" s="29" customFormat="1" x14ac:dyDescent="0.2">
      <c r="A8" s="12" t="s">
        <v>4</v>
      </c>
      <c r="B8" s="3" t="s">
        <v>7</v>
      </c>
      <c r="C8" s="21">
        <v>4</v>
      </c>
      <c r="D8" s="30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x14ac:dyDescent="0.2">
      <c r="A9" s="12" t="s">
        <v>25</v>
      </c>
      <c r="B9" s="3" t="s">
        <v>12</v>
      </c>
      <c r="C9" s="50">
        <f t="shared" ref="C9" si="2">(C8*1000/60)/C7</f>
        <v>1.3609772728060536</v>
      </c>
      <c r="D9" s="7"/>
    </row>
    <row r="10" spans="1:28" x14ac:dyDescent="0.2">
      <c r="A10" s="12" t="s">
        <v>27</v>
      </c>
      <c r="B10" s="3" t="s">
        <v>28</v>
      </c>
      <c r="C10" s="27">
        <f t="shared" ref="C10" si="3">(C9*(C6/1000))/(1.035*10^-6)</f>
        <v>10387.346733144097</v>
      </c>
      <c r="D10" s="7"/>
    </row>
    <row r="11" spans="1:28" s="29" customFormat="1" x14ac:dyDescent="0.2">
      <c r="A11" s="12" t="s">
        <v>36</v>
      </c>
      <c r="B11" s="3" t="s">
        <v>8</v>
      </c>
      <c r="C11" s="27"/>
      <c r="D11" s="31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 s="29" customFormat="1" x14ac:dyDescent="0.2">
      <c r="A12" s="12" t="s">
        <v>37</v>
      </c>
      <c r="B12" s="3" t="s">
        <v>45</v>
      </c>
      <c r="C12" s="27"/>
      <c r="D12" s="31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x14ac:dyDescent="0.2">
      <c r="A13" s="12" t="s">
        <v>64</v>
      </c>
      <c r="B13" s="3" t="s">
        <v>8</v>
      </c>
      <c r="C13" s="27">
        <f>780-390</f>
        <v>390</v>
      </c>
      <c r="D13" s="7"/>
    </row>
    <row r="14" spans="1:28" x14ac:dyDescent="0.2">
      <c r="A14" s="12" t="s">
        <v>16</v>
      </c>
      <c r="B14" s="3" t="s">
        <v>5</v>
      </c>
      <c r="C14" s="50">
        <f t="shared" ref="C14" si="4">C13/(C8/60)/4180</f>
        <v>1.3995215311004785</v>
      </c>
      <c r="D14" s="7"/>
    </row>
    <row r="15" spans="1:28" x14ac:dyDescent="0.2">
      <c r="A15" s="12"/>
      <c r="B15" s="3"/>
      <c r="C15" s="21"/>
      <c r="D15" s="9"/>
    </row>
    <row r="16" spans="1:28" s="29" customFormat="1" x14ac:dyDescent="0.2">
      <c r="A16" s="12" t="s">
        <v>9</v>
      </c>
      <c r="B16" s="3" t="s">
        <v>10</v>
      </c>
      <c r="C16" s="27">
        <v>12</v>
      </c>
      <c r="D16" s="31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28" x14ac:dyDescent="0.2">
      <c r="A17" s="12" t="s">
        <v>15</v>
      </c>
      <c r="B17" s="3" t="s">
        <v>7</v>
      </c>
      <c r="C17" s="27">
        <f t="shared" ref="C17" si="5">C8*C16</f>
        <v>48</v>
      </c>
      <c r="D17" s="9"/>
    </row>
    <row r="18" spans="1:28" s="29" customFormat="1" x14ac:dyDescent="0.2">
      <c r="A18" s="12" t="s">
        <v>18</v>
      </c>
      <c r="B18" s="3" t="s">
        <v>8</v>
      </c>
      <c r="C18" s="27">
        <f>C16*C13</f>
        <v>4680</v>
      </c>
      <c r="D18" s="28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</row>
    <row r="19" spans="1:28" x14ac:dyDescent="0.2">
      <c r="A19" s="12" t="s">
        <v>20</v>
      </c>
      <c r="B19" s="3" t="s">
        <v>8</v>
      </c>
      <c r="C19" s="3"/>
      <c r="D19" s="11"/>
    </row>
    <row r="20" spans="1:28" x14ac:dyDescent="0.2">
      <c r="A20" s="12"/>
      <c r="B20" s="3"/>
      <c r="C20" s="3"/>
      <c r="D20" s="11"/>
    </row>
    <row r="21" spans="1:28" x14ac:dyDescent="0.2">
      <c r="A21" s="12" t="s">
        <v>13</v>
      </c>
      <c r="B21" s="3" t="s">
        <v>0</v>
      </c>
      <c r="C21" s="19"/>
      <c r="D21" s="9"/>
    </row>
    <row r="22" spans="1:28" x14ac:dyDescent="0.2">
      <c r="A22" s="11"/>
      <c r="B22" s="9"/>
      <c r="C22" s="9"/>
      <c r="D22" s="11"/>
    </row>
    <row r="24" spans="1:28" x14ac:dyDescent="0.2">
      <c r="A24" s="25" t="s">
        <v>39</v>
      </c>
      <c r="C24" t="s">
        <v>41</v>
      </c>
      <c r="E24" t="s">
        <v>46</v>
      </c>
      <c r="F24" t="s">
        <v>60</v>
      </c>
    </row>
    <row r="25" spans="1:28" x14ac:dyDescent="0.2">
      <c r="A25" s="14" t="s">
        <v>15</v>
      </c>
      <c r="B25" s="15" t="s">
        <v>7</v>
      </c>
      <c r="C25" s="15"/>
      <c r="D25" s="15"/>
      <c r="E25" s="15"/>
      <c r="F25" s="15"/>
    </row>
    <row r="26" spans="1:28" x14ac:dyDescent="0.2">
      <c r="A26" s="14" t="s">
        <v>19</v>
      </c>
      <c r="B26" s="15" t="s">
        <v>8</v>
      </c>
      <c r="C26" s="15">
        <f>SUM(C18:C18)/1000</f>
        <v>4.68</v>
      </c>
      <c r="D26" s="15"/>
      <c r="E26" s="15">
        <v>0</v>
      </c>
      <c r="F26" s="16">
        <f>SUM(C26:E26)</f>
        <v>4.68</v>
      </c>
    </row>
    <row r="27" spans="1:28" x14ac:dyDescent="0.2">
      <c r="A27" s="14" t="s">
        <v>17</v>
      </c>
      <c r="B27" s="15" t="s">
        <v>5</v>
      </c>
      <c r="C27" s="15"/>
      <c r="D27" s="15"/>
      <c r="E27" s="15"/>
      <c r="F27" s="15"/>
    </row>
    <row r="32" spans="1:28" x14ac:dyDescent="0.2">
      <c r="A32" s="33" t="s">
        <v>65</v>
      </c>
    </row>
    <row r="33" spans="1:1" x14ac:dyDescent="0.2">
      <c r="A33" t="s">
        <v>66</v>
      </c>
    </row>
  </sheetData>
  <mergeCells count="1">
    <mergeCell ref="B2:C2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1"/>
  <sheetViews>
    <sheetView showGridLines="0" zoomScale="130" zoomScaleNormal="130" workbookViewId="0">
      <selection activeCell="F3" sqref="F3"/>
    </sheetView>
  </sheetViews>
  <sheetFormatPr defaultColWidth="8.85546875" defaultRowHeight="12.75" x14ac:dyDescent="0.2"/>
  <cols>
    <col min="1" max="1" width="22.7109375" customWidth="1"/>
    <col min="2" max="2" width="16.28515625" customWidth="1"/>
    <col min="3" max="5" width="7.7109375" customWidth="1"/>
    <col min="6" max="46" width="8.85546875" style="32"/>
  </cols>
  <sheetData>
    <row r="1" spans="1:46" ht="18" x14ac:dyDescent="0.25">
      <c r="A1" s="17" t="s">
        <v>47</v>
      </c>
      <c r="C1" t="s">
        <v>50</v>
      </c>
    </row>
    <row r="2" spans="1:46" x14ac:dyDescent="0.2">
      <c r="B2" s="26"/>
      <c r="C2" s="26"/>
      <c r="D2" s="26" t="s">
        <v>51</v>
      </c>
      <c r="E2" s="26" t="s">
        <v>51</v>
      </c>
    </row>
    <row r="3" spans="1:46" ht="51" x14ac:dyDescent="0.2">
      <c r="A3" s="10"/>
      <c r="B3" s="13" t="s">
        <v>3</v>
      </c>
      <c r="C3" s="51" t="s">
        <v>26</v>
      </c>
      <c r="D3" s="52" t="s">
        <v>52</v>
      </c>
      <c r="E3" s="51" t="s">
        <v>54</v>
      </c>
    </row>
    <row r="4" spans="1:46" x14ac:dyDescent="0.2">
      <c r="A4" s="12" t="s">
        <v>1</v>
      </c>
      <c r="B4" s="3" t="s">
        <v>6</v>
      </c>
      <c r="C4" s="4">
        <v>9.5250000000000004</v>
      </c>
      <c r="D4" s="50">
        <v>8</v>
      </c>
      <c r="E4" s="50">
        <v>8</v>
      </c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46" x14ac:dyDescent="0.2">
      <c r="A5" s="12" t="s">
        <v>2</v>
      </c>
      <c r="B5" s="3" t="s">
        <v>6</v>
      </c>
      <c r="C5" s="4">
        <v>0.81279999999999997</v>
      </c>
      <c r="D5" s="50">
        <v>1</v>
      </c>
      <c r="E5" s="50">
        <v>1</v>
      </c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46" x14ac:dyDescent="0.2">
      <c r="A6" s="12" t="s">
        <v>21</v>
      </c>
      <c r="B6" s="3" t="s">
        <v>6</v>
      </c>
      <c r="C6" s="4">
        <f t="shared" ref="C6" si="0">C4-(2*C5)</f>
        <v>7.8994</v>
      </c>
      <c r="D6" s="50">
        <v>6</v>
      </c>
      <c r="E6" s="50">
        <v>6</v>
      </c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46" ht="14.25" x14ac:dyDescent="0.2">
      <c r="A7" s="12" t="s">
        <v>22</v>
      </c>
      <c r="B7" s="3" t="s">
        <v>11</v>
      </c>
      <c r="C7" s="5">
        <f t="shared" ref="C7" si="1">0.25*3.14*(C6^2)</f>
        <v>48.984408482600003</v>
      </c>
      <c r="D7" s="27">
        <v>28</v>
      </c>
      <c r="E7" s="27">
        <v>28</v>
      </c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46" s="29" customFormat="1" x14ac:dyDescent="0.2">
      <c r="A8" s="12" t="s">
        <v>4</v>
      </c>
      <c r="B8" s="3" t="s">
        <v>7</v>
      </c>
      <c r="C8" s="21">
        <v>4</v>
      </c>
      <c r="D8" s="21">
        <v>2</v>
      </c>
      <c r="E8" s="21">
        <v>2</v>
      </c>
      <c r="F8" s="32"/>
      <c r="G8" s="37"/>
      <c r="H8" s="37"/>
      <c r="I8" s="37"/>
      <c r="J8" s="37"/>
      <c r="K8" s="37"/>
      <c r="L8" s="37"/>
      <c r="M8" s="37"/>
      <c r="N8" s="37"/>
      <c r="O8" s="37"/>
      <c r="P8" s="37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spans="1:46" x14ac:dyDescent="0.2">
      <c r="A9" s="12" t="s">
        <v>25</v>
      </c>
      <c r="B9" s="3" t="s">
        <v>12</v>
      </c>
      <c r="C9" s="23">
        <f t="shared" ref="C9" si="2">(C8*1000/60)/C7</f>
        <v>1.3609772728060536</v>
      </c>
      <c r="D9" s="23">
        <v>1.2</v>
      </c>
      <c r="E9" s="23">
        <v>1.2</v>
      </c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46" x14ac:dyDescent="0.2">
      <c r="A10" s="12" t="s">
        <v>27</v>
      </c>
      <c r="B10" s="3" t="s">
        <v>28</v>
      </c>
      <c r="C10" s="22">
        <f>(C9*(C6/1000))/(1.035*10^-6)</f>
        <v>10387.346733144097</v>
      </c>
      <c r="D10" s="22">
        <v>6838</v>
      </c>
      <c r="E10" s="22">
        <v>6838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46" s="29" customFormat="1" x14ac:dyDescent="0.2">
      <c r="A11" s="12" t="s">
        <v>36</v>
      </c>
      <c r="B11" s="3" t="s">
        <v>8</v>
      </c>
      <c r="C11" s="27"/>
      <c r="D11" s="27"/>
      <c r="E11" s="27"/>
      <c r="F11" s="32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</row>
    <row r="12" spans="1:46" s="29" customFormat="1" x14ac:dyDescent="0.2">
      <c r="A12" s="12" t="s">
        <v>37</v>
      </c>
      <c r="B12" s="3" t="s">
        <v>45</v>
      </c>
      <c r="C12" s="27"/>
      <c r="D12" s="27"/>
      <c r="E12" s="27"/>
      <c r="F12" s="32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</row>
    <row r="13" spans="1:46" x14ac:dyDescent="0.2">
      <c r="A13" s="12" t="s">
        <v>14</v>
      </c>
      <c r="B13" s="3" t="s">
        <v>8</v>
      </c>
      <c r="C13" s="27">
        <f>780-370</f>
        <v>410</v>
      </c>
      <c r="D13" s="27">
        <v>23</v>
      </c>
      <c r="E13" s="27">
        <v>23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46" x14ac:dyDescent="0.2">
      <c r="A14" s="12" t="s">
        <v>16</v>
      </c>
      <c r="B14" s="3" t="s">
        <v>5</v>
      </c>
      <c r="C14" s="50">
        <f t="shared" ref="C14" si="3">C13/(C8/60)/4180</f>
        <v>1.4712918660287082</v>
      </c>
      <c r="D14" s="50">
        <v>0.2</v>
      </c>
      <c r="E14" s="50">
        <v>0.2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46" x14ac:dyDescent="0.2">
      <c r="A15" s="12"/>
      <c r="B15" s="3"/>
      <c r="C15" s="21"/>
      <c r="D15" s="21"/>
      <c r="E15" s="21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46" s="29" customFormat="1" x14ac:dyDescent="0.2">
      <c r="A16" s="12" t="s">
        <v>9</v>
      </c>
      <c r="B16" s="3" t="s">
        <v>10</v>
      </c>
      <c r="C16" s="21">
        <v>6</v>
      </c>
      <c r="D16" s="21">
        <v>18</v>
      </c>
      <c r="E16" s="21">
        <v>18</v>
      </c>
      <c r="F16" s="32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x14ac:dyDescent="0.2">
      <c r="A17" s="12" t="s">
        <v>15</v>
      </c>
      <c r="B17" s="3" t="s">
        <v>7</v>
      </c>
      <c r="C17" s="21">
        <f>C16*C8</f>
        <v>24</v>
      </c>
      <c r="D17" s="21" t="s">
        <v>53</v>
      </c>
      <c r="E17" s="21" t="s">
        <v>53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46" x14ac:dyDescent="0.2">
      <c r="A18" s="12" t="s">
        <v>18</v>
      </c>
      <c r="B18" s="3" t="s">
        <v>8</v>
      </c>
      <c r="C18" s="27">
        <f>C16*C13</f>
        <v>2460</v>
      </c>
      <c r="D18" s="27">
        <v>414</v>
      </c>
      <c r="E18" s="27">
        <v>414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46" x14ac:dyDescent="0.2">
      <c r="A19" s="12" t="s">
        <v>20</v>
      </c>
      <c r="B19" s="3" t="s">
        <v>8</v>
      </c>
      <c r="C19" s="3"/>
      <c r="D19" s="3"/>
      <c r="E19" s="3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46" x14ac:dyDescent="0.2">
      <c r="A20" s="12"/>
      <c r="B20" s="3"/>
      <c r="C20" s="3"/>
      <c r="D20" s="3"/>
      <c r="E20" s="3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46" x14ac:dyDescent="0.2">
      <c r="A21" s="12" t="s">
        <v>13</v>
      </c>
      <c r="B21" s="3" t="s">
        <v>0</v>
      </c>
      <c r="C21" s="3"/>
      <c r="D21" s="3"/>
      <c r="E21" s="3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46" x14ac:dyDescent="0.2">
      <c r="A22" s="11"/>
      <c r="B22" s="9"/>
      <c r="C22" s="9"/>
      <c r="D22" s="9"/>
      <c r="E22" s="9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46" x14ac:dyDescent="0.2">
      <c r="A23" s="34" t="s">
        <v>40</v>
      </c>
      <c r="B23" s="9"/>
      <c r="C23" t="s">
        <v>41</v>
      </c>
      <c r="D23" t="s">
        <v>46</v>
      </c>
      <c r="E23" t="s">
        <v>60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46" x14ac:dyDescent="0.2">
      <c r="A24" s="14" t="s">
        <v>15</v>
      </c>
      <c r="B24" s="15" t="s">
        <v>7</v>
      </c>
      <c r="C24" s="15"/>
      <c r="D24" s="15"/>
      <c r="E24" s="15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46" x14ac:dyDescent="0.2">
      <c r="A25" s="14" t="s">
        <v>19</v>
      </c>
      <c r="B25" s="15" t="s">
        <v>61</v>
      </c>
      <c r="C25" s="16">
        <f>C18/1000</f>
        <v>2.46</v>
      </c>
      <c r="D25" s="15">
        <f>SUM(D18:E18)/1000</f>
        <v>0.82799999999999996</v>
      </c>
      <c r="E25" s="16">
        <f>SUM(C25:D25)</f>
        <v>3.2879999999999998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46" x14ac:dyDescent="0.2">
      <c r="A26" s="14" t="s">
        <v>17</v>
      </c>
      <c r="B26" s="15" t="s">
        <v>5</v>
      </c>
      <c r="C26" s="15"/>
      <c r="D26" s="15"/>
      <c r="E26" s="15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46" x14ac:dyDescent="0.2">
      <c r="B27" s="2"/>
      <c r="C27" s="2"/>
      <c r="D27" s="2"/>
      <c r="E27" s="2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46" x14ac:dyDescent="0.2">
      <c r="B28" s="2"/>
      <c r="C28" s="2"/>
      <c r="D28" s="2"/>
      <c r="E28" s="2"/>
    </row>
    <row r="29" spans="1:46" s="24" customFormat="1" x14ac:dyDescent="0.2"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</row>
    <row r="30" spans="1:46" s="24" customFormat="1" x14ac:dyDescent="0.2">
      <c r="A30" t="s">
        <v>67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</row>
    <row r="31" spans="1:46" s="24" customFormat="1" x14ac:dyDescent="0.2"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6"/>
  <sheetViews>
    <sheetView tabSelected="1" workbookViewId="0">
      <selection activeCell="B4" sqref="B4"/>
    </sheetView>
  </sheetViews>
  <sheetFormatPr defaultColWidth="11.42578125" defaultRowHeight="12.75" x14ac:dyDescent="0.2"/>
  <cols>
    <col min="2" max="2" width="17.28515625" customWidth="1"/>
    <col min="3" max="3" width="9.7109375" customWidth="1"/>
  </cols>
  <sheetData>
    <row r="4" spans="2:6" ht="18" x14ac:dyDescent="0.25">
      <c r="B4" s="17" t="s">
        <v>76</v>
      </c>
      <c r="C4" s="17"/>
    </row>
    <row r="6" spans="2:6" ht="25.5" x14ac:dyDescent="0.2">
      <c r="C6" s="13" t="s">
        <v>3</v>
      </c>
      <c r="D6" s="13" t="s">
        <v>69</v>
      </c>
      <c r="E6" s="13" t="s">
        <v>70</v>
      </c>
      <c r="F6" s="13" t="s">
        <v>71</v>
      </c>
    </row>
    <row r="7" spans="2:6" x14ac:dyDescent="0.2">
      <c r="B7" s="12" t="s">
        <v>1</v>
      </c>
      <c r="C7" s="3" t="s">
        <v>6</v>
      </c>
      <c r="D7" s="65">
        <v>8</v>
      </c>
      <c r="E7" s="65">
        <v>8</v>
      </c>
      <c r="F7" s="65">
        <v>8</v>
      </c>
    </row>
    <row r="8" spans="2:6" x14ac:dyDescent="0.2">
      <c r="B8" s="12" t="s">
        <v>2</v>
      </c>
      <c r="C8" s="3" t="s">
        <v>6</v>
      </c>
      <c r="D8" s="65">
        <v>1</v>
      </c>
      <c r="E8" s="65">
        <v>1</v>
      </c>
      <c r="F8" s="65">
        <v>1</v>
      </c>
    </row>
    <row r="9" spans="2:6" x14ac:dyDescent="0.2">
      <c r="B9" s="12" t="s">
        <v>21</v>
      </c>
      <c r="C9" s="3" t="s">
        <v>6</v>
      </c>
      <c r="D9" s="65">
        <v>6</v>
      </c>
      <c r="E9" s="65">
        <v>6</v>
      </c>
      <c r="F9" s="65">
        <v>6</v>
      </c>
    </row>
    <row r="10" spans="2:6" ht="14.25" x14ac:dyDescent="0.2">
      <c r="B10" s="12" t="s">
        <v>22</v>
      </c>
      <c r="C10" s="3" t="s">
        <v>11</v>
      </c>
      <c r="D10" s="5">
        <f t="shared" ref="D10:F10" si="0">0.25*3.14*(D9^2)</f>
        <v>28.26</v>
      </c>
      <c r="E10" s="5">
        <f t="shared" si="0"/>
        <v>28.26</v>
      </c>
      <c r="F10" s="5">
        <f t="shared" si="0"/>
        <v>28.26</v>
      </c>
    </row>
    <row r="11" spans="2:6" x14ac:dyDescent="0.2">
      <c r="B11" s="12" t="s">
        <v>4</v>
      </c>
      <c r="C11" s="3" t="s">
        <v>7</v>
      </c>
      <c r="D11" s="65">
        <v>2</v>
      </c>
      <c r="E11" s="65">
        <v>2</v>
      </c>
      <c r="F11" s="65">
        <v>2</v>
      </c>
    </row>
    <row r="12" spans="2:6" x14ac:dyDescent="0.2">
      <c r="B12" s="12" t="s">
        <v>25</v>
      </c>
      <c r="C12" s="3" t="s">
        <v>12</v>
      </c>
      <c r="D12" s="4">
        <f t="shared" ref="D12:F12" si="1">(D11*1000/60)/D10</f>
        <v>1.1795234725171031</v>
      </c>
      <c r="E12" s="4">
        <f t="shared" si="1"/>
        <v>1.1795234725171031</v>
      </c>
      <c r="F12" s="4">
        <f t="shared" si="1"/>
        <v>1.1795234725171031</v>
      </c>
    </row>
    <row r="13" spans="2:6" x14ac:dyDescent="0.2">
      <c r="B13" s="12" t="s">
        <v>27</v>
      </c>
      <c r="C13" s="3" t="s">
        <v>28</v>
      </c>
      <c r="D13" s="5">
        <f>(D12*(D9/1000))/(1.035*10^-6)</f>
        <v>6837.8172319832074</v>
      </c>
      <c r="E13" s="5">
        <f>(E12*(E9/1000))/(1.035*10^-6)</f>
        <v>6837.8172319832074</v>
      </c>
      <c r="F13" s="5">
        <f t="shared" ref="F13" si="2">(F12*(F9/1000))/(1.035*10^-6)</f>
        <v>6837.8172319832074</v>
      </c>
    </row>
    <row r="14" spans="2:6" x14ac:dyDescent="0.2">
      <c r="B14" s="12" t="s">
        <v>14</v>
      </c>
      <c r="C14" s="3" t="s">
        <v>8</v>
      </c>
      <c r="D14" s="65">
        <v>20</v>
      </c>
      <c r="E14" s="65">
        <v>40</v>
      </c>
      <c r="F14" s="65">
        <v>60</v>
      </c>
    </row>
    <row r="15" spans="2:6" x14ac:dyDescent="0.2">
      <c r="B15" s="12" t="s">
        <v>16</v>
      </c>
      <c r="C15" s="3" t="s">
        <v>5</v>
      </c>
      <c r="D15" s="4">
        <f t="shared" ref="D15:F15" si="3">D14/(D11/60)/4180</f>
        <v>0.14354066985645933</v>
      </c>
      <c r="E15" s="4">
        <f t="shared" si="3"/>
        <v>0.28708133971291866</v>
      </c>
      <c r="F15" s="4">
        <f t="shared" si="3"/>
        <v>0.43062200956937802</v>
      </c>
    </row>
    <row r="16" spans="2:6" x14ac:dyDescent="0.2">
      <c r="B16" s="12"/>
      <c r="C16" s="3"/>
      <c r="D16" s="65"/>
      <c r="E16" s="65"/>
      <c r="F16" s="65"/>
    </row>
    <row r="17" spans="2:6" x14ac:dyDescent="0.2">
      <c r="B17" s="12" t="s">
        <v>9</v>
      </c>
      <c r="C17" s="3" t="s">
        <v>10</v>
      </c>
      <c r="D17" s="65">
        <v>18</v>
      </c>
      <c r="E17" s="65">
        <v>9</v>
      </c>
      <c r="F17" s="65">
        <v>18</v>
      </c>
    </row>
    <row r="18" spans="2:6" x14ac:dyDescent="0.2">
      <c r="B18" s="12" t="s">
        <v>15</v>
      </c>
      <c r="C18" s="3" t="s">
        <v>7</v>
      </c>
      <c r="D18" s="3">
        <f>D17*D11</f>
        <v>36</v>
      </c>
      <c r="E18" s="3">
        <f>E17*E11</f>
        <v>18</v>
      </c>
      <c r="F18" s="3">
        <f>F17*F11</f>
        <v>36</v>
      </c>
    </row>
    <row r="19" spans="2:6" x14ac:dyDescent="0.2">
      <c r="B19" s="12" t="s">
        <v>18</v>
      </c>
      <c r="C19" s="3" t="s">
        <v>8</v>
      </c>
      <c r="D19" s="5">
        <f>D17*D14</f>
        <v>360</v>
      </c>
      <c r="E19" s="5">
        <f t="shared" ref="E19:F19" si="4">E17*E14</f>
        <v>360</v>
      </c>
      <c r="F19" s="5">
        <f t="shared" si="4"/>
        <v>1080</v>
      </c>
    </row>
    <row r="22" spans="2:6" x14ac:dyDescent="0.2">
      <c r="B22" s="66" t="s">
        <v>72</v>
      </c>
      <c r="C22" s="66"/>
    </row>
    <row r="23" spans="2:6" x14ac:dyDescent="0.2">
      <c r="B23" s="32" t="s">
        <v>75</v>
      </c>
      <c r="C23" s="32"/>
    </row>
    <row r="25" spans="2:6" x14ac:dyDescent="0.2">
      <c r="B25" t="s">
        <v>73</v>
      </c>
    </row>
    <row r="26" spans="2:6" x14ac:dyDescent="0.2">
      <c r="B26" t="s"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Upgrade YE1</vt:lpstr>
      <vt:lpstr>Upgrade YE2  </vt:lpstr>
      <vt:lpstr>Upgrade YE3</vt:lpstr>
      <vt:lpstr>YE3RPCIC</vt:lpstr>
    </vt:vector>
  </TitlesOfParts>
  <Company>UW - Physical Sciences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ffeyzi</dc:creator>
  <cp:lastModifiedBy>Ian Crotty</cp:lastModifiedBy>
  <cp:lastPrinted>2018-10-23T11:15:05Z</cp:lastPrinted>
  <dcterms:created xsi:type="dcterms:W3CDTF">2000-09-12T19:14:17Z</dcterms:created>
  <dcterms:modified xsi:type="dcterms:W3CDTF">2018-10-23T12:59:34Z</dcterms:modified>
</cp:coreProperties>
</file>